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lissa.hernandez\Documents\PROJECTS_PIMS\5462_EL SALVADOR\20 NOV 2018\"/>
    </mc:Choice>
  </mc:AlternateContent>
  <xr:revisionPtr revIDLastSave="0" documentId="8_{3E70A53C-E363-41DB-9CFE-6FBD508C7C11}" xr6:coauthVersionLast="31" xr6:coauthVersionMax="31" xr10:uidLastSave="{00000000-0000-0000-0000-000000000000}"/>
  <bookViews>
    <workbookView xWindow="0" yWindow="0" windowWidth="28800" windowHeight="11610" xr2:uid="{00000000-000D-0000-FFFF-FFFF00000000}"/>
  </bookViews>
  <sheets>
    <sheet name="DATOS" sheetId="2" r:id="rId1"/>
    <sheet name="EVALUACION" sheetId="3" r:id="rId2"/>
    <sheet name="SENSIBILIZACION" sheetId="4" r:id="rId3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35" i="4" l="1"/>
  <c r="B34" i="3"/>
  <c r="V22" i="4" l="1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F22" i="4"/>
  <c r="E22" i="4"/>
  <c r="D22" i="4"/>
  <c r="C22" i="4"/>
  <c r="B30" i="4"/>
  <c r="B12" i="4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8" i="3"/>
  <c r="B10" i="3"/>
  <c r="C12" i="3"/>
  <c r="D12" i="3"/>
  <c r="E12" i="3"/>
  <c r="A15" i="3"/>
  <c r="E77" i="2"/>
  <c r="B76" i="2"/>
  <c r="E76" i="2" s="1"/>
  <c r="E70" i="2"/>
  <c r="E72" i="2" s="1"/>
  <c r="B58" i="2" l="1"/>
  <c r="B55" i="2"/>
  <c r="A65" i="2"/>
  <c r="A66" i="2" s="1"/>
  <c r="B8" i="2" s="1"/>
  <c r="A54" i="4" l="1"/>
  <c r="B54" i="4"/>
  <c r="C54" i="4"/>
  <c r="A55" i="4"/>
  <c r="A56" i="4"/>
  <c r="A57" i="4"/>
  <c r="B48" i="2" l="1"/>
  <c r="B50" i="2" s="1"/>
  <c r="B42" i="2"/>
  <c r="C42" i="2" s="1"/>
  <c r="C41" i="2"/>
  <c r="C40" i="2"/>
  <c r="C39" i="2"/>
  <c r="I28" i="2"/>
  <c r="B27" i="2" s="1"/>
  <c r="D41" i="2" l="1"/>
  <c r="B60" i="2"/>
  <c r="B28" i="2" s="1"/>
  <c r="B54" i="3"/>
  <c r="B55" i="4" s="1"/>
  <c r="A18" i="3"/>
  <c r="A17" i="3"/>
  <c r="F28" i="2"/>
  <c r="B26" i="2" s="1"/>
  <c r="B55" i="3" s="1"/>
  <c r="B56" i="4" s="1"/>
  <c r="B10" i="2"/>
  <c r="D7" i="2" s="1"/>
  <c r="B3" i="3" s="1"/>
  <c r="V13" i="4" l="1"/>
  <c r="V11" i="3"/>
  <c r="F37" i="4"/>
  <c r="C14" i="4"/>
  <c r="B33" i="4" l="1"/>
  <c r="D14" i="4"/>
  <c r="H6" i="4" l="1"/>
  <c r="H5" i="4"/>
  <c r="B7" i="4" l="1"/>
  <c r="B5" i="4"/>
  <c r="B6" i="4" s="1"/>
  <c r="C15" i="4" l="1"/>
  <c r="D15" i="4"/>
  <c r="C20" i="4"/>
  <c r="B5" i="3"/>
  <c r="B4" i="3" l="1"/>
  <c r="B29" i="2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D20" i="4"/>
  <c r="D13" i="3" l="1"/>
  <c r="D15" i="3"/>
  <c r="E13" i="3"/>
  <c r="E15" i="3"/>
  <c r="C13" i="3"/>
  <c r="C15" i="3"/>
  <c r="B11" i="4"/>
  <c r="F20" i="4"/>
  <c r="F14" i="4"/>
  <c r="F15" i="4" s="1"/>
  <c r="R20" i="4"/>
  <c r="R14" i="4"/>
  <c r="R15" i="4" s="1"/>
  <c r="K20" i="4"/>
  <c r="K14" i="4"/>
  <c r="K15" i="4" s="1"/>
  <c r="O20" i="4"/>
  <c r="O14" i="4"/>
  <c r="O15" i="4" s="1"/>
  <c r="S20" i="4"/>
  <c r="S14" i="4"/>
  <c r="S15" i="4" s="1"/>
  <c r="H20" i="4"/>
  <c r="H14" i="4"/>
  <c r="H15" i="4" s="1"/>
  <c r="T20" i="4"/>
  <c r="T14" i="4"/>
  <c r="T15" i="4" s="1"/>
  <c r="J20" i="4"/>
  <c r="J14" i="4"/>
  <c r="J15" i="4" s="1"/>
  <c r="N20" i="4"/>
  <c r="N14" i="4"/>
  <c r="N15" i="4" s="1"/>
  <c r="V20" i="4"/>
  <c r="V14" i="4"/>
  <c r="V15" i="4" s="1"/>
  <c r="G20" i="4"/>
  <c r="G14" i="4"/>
  <c r="G15" i="4" s="1"/>
  <c r="L20" i="4"/>
  <c r="L14" i="4"/>
  <c r="L15" i="4" s="1"/>
  <c r="P20" i="4"/>
  <c r="P14" i="4"/>
  <c r="P15" i="4" s="1"/>
  <c r="B9" i="3"/>
  <c r="E20" i="4"/>
  <c r="E14" i="4"/>
  <c r="E15" i="4" s="1"/>
  <c r="I20" i="4"/>
  <c r="I14" i="4"/>
  <c r="I15" i="4" s="1"/>
  <c r="M20" i="4"/>
  <c r="M14" i="4"/>
  <c r="M15" i="4" s="1"/>
  <c r="Q20" i="4"/>
  <c r="Q14" i="4"/>
  <c r="Q15" i="4" s="1"/>
  <c r="U20" i="4"/>
  <c r="U14" i="4"/>
  <c r="U15" i="4" s="1"/>
  <c r="B35" i="3"/>
  <c r="B56" i="3"/>
  <c r="B57" i="4" s="1"/>
  <c r="U17" i="4"/>
  <c r="F17" i="4"/>
  <c r="C17" i="4"/>
  <c r="C18" i="4" s="1"/>
  <c r="S17" i="4"/>
  <c r="P17" i="4"/>
  <c r="M17" i="4"/>
  <c r="J17" i="4"/>
  <c r="G17" i="4"/>
  <c r="D17" i="4"/>
  <c r="D18" i="4" s="1"/>
  <c r="T17" i="4"/>
  <c r="Q17" i="4"/>
  <c r="N17" i="4"/>
  <c r="K17" i="4"/>
  <c r="H17" i="4"/>
  <c r="E17" i="4"/>
  <c r="R17" i="4"/>
  <c r="V17" i="4"/>
  <c r="O17" i="4"/>
  <c r="L17" i="4"/>
  <c r="I17" i="4"/>
  <c r="C55" i="3"/>
  <c r="C54" i="3"/>
  <c r="E18" i="3"/>
  <c r="I18" i="3"/>
  <c r="M18" i="3"/>
  <c r="Q18" i="3"/>
  <c r="U18" i="3"/>
  <c r="F18" i="3"/>
  <c r="J18" i="3"/>
  <c r="N18" i="3"/>
  <c r="R18" i="3"/>
  <c r="V18" i="3"/>
  <c r="G15" i="3"/>
  <c r="K15" i="3"/>
  <c r="O15" i="3"/>
  <c r="S15" i="3"/>
  <c r="G18" i="3"/>
  <c r="K18" i="3"/>
  <c r="O18" i="3"/>
  <c r="C18" i="3"/>
  <c r="S18" i="3"/>
  <c r="D18" i="3"/>
  <c r="H18" i="3"/>
  <c r="H15" i="3"/>
  <c r="H13" i="3"/>
  <c r="L18" i="3"/>
  <c r="L15" i="3"/>
  <c r="L13" i="3"/>
  <c r="P18" i="3"/>
  <c r="P15" i="3"/>
  <c r="P13" i="3"/>
  <c r="T18" i="3"/>
  <c r="T15" i="3"/>
  <c r="T13" i="3"/>
  <c r="I13" i="3"/>
  <c r="M13" i="3"/>
  <c r="Q13" i="3"/>
  <c r="U13" i="3"/>
  <c r="I15" i="3"/>
  <c r="M15" i="3"/>
  <c r="Q15" i="3"/>
  <c r="U15" i="3"/>
  <c r="F13" i="3"/>
  <c r="J13" i="3"/>
  <c r="N13" i="3"/>
  <c r="R13" i="3"/>
  <c r="V13" i="3"/>
  <c r="F15" i="3"/>
  <c r="J15" i="3"/>
  <c r="N15" i="3"/>
  <c r="R15" i="3"/>
  <c r="V15" i="3"/>
  <c r="G13" i="3"/>
  <c r="K13" i="3"/>
  <c r="O13" i="3"/>
  <c r="S13" i="3"/>
  <c r="Q18" i="4" l="1"/>
  <c r="T18" i="4"/>
  <c r="F18" i="4"/>
  <c r="R18" i="4"/>
  <c r="C65" i="3"/>
  <c r="C56" i="4"/>
  <c r="B80" i="3"/>
  <c r="D80" i="3" s="1"/>
  <c r="V26" i="3" s="1"/>
  <c r="C55" i="4"/>
  <c r="V18" i="4"/>
  <c r="L18" i="4"/>
  <c r="J18" i="4"/>
  <c r="O18" i="4"/>
  <c r="H18" i="4"/>
  <c r="B62" i="3"/>
  <c r="B61" i="3"/>
  <c r="B69" i="3"/>
  <c r="D69" i="3" s="1"/>
  <c r="K26" i="3" s="1"/>
  <c r="B76" i="3"/>
  <c r="D76" i="3" s="1"/>
  <c r="R26" i="3" s="1"/>
  <c r="B78" i="3"/>
  <c r="D78" i="3" s="1"/>
  <c r="T26" i="3" s="1"/>
  <c r="B67" i="3"/>
  <c r="D67" i="3" s="1"/>
  <c r="I26" i="3" s="1"/>
  <c r="M18" i="4"/>
  <c r="I18" i="4"/>
  <c r="U18" i="4"/>
  <c r="E18" i="4"/>
  <c r="B36" i="3"/>
  <c r="B39" i="3" s="1"/>
  <c r="K18" i="4"/>
  <c r="P18" i="4"/>
  <c r="C62" i="3"/>
  <c r="N18" i="4"/>
  <c r="G18" i="4"/>
  <c r="S18" i="4"/>
  <c r="B36" i="4"/>
  <c r="B37" i="4" s="1"/>
  <c r="C21" i="4"/>
  <c r="C23" i="4" s="1"/>
  <c r="I17" i="3"/>
  <c r="B68" i="3"/>
  <c r="D68" i="3" s="1"/>
  <c r="B75" i="3"/>
  <c r="D75" i="3" s="1"/>
  <c r="B70" i="3"/>
  <c r="D70" i="3" s="1"/>
  <c r="C61" i="3"/>
  <c r="D61" i="3" s="1"/>
  <c r="C17" i="3" s="1"/>
  <c r="C64" i="3"/>
  <c r="B65" i="3"/>
  <c r="V17" i="3"/>
  <c r="B72" i="3"/>
  <c r="D72" i="3" s="1"/>
  <c r="B79" i="3"/>
  <c r="D79" i="3" s="1"/>
  <c r="B63" i="3"/>
  <c r="B74" i="3"/>
  <c r="D74" i="3" s="1"/>
  <c r="C63" i="3"/>
  <c r="C56" i="3"/>
  <c r="C57" i="4" s="1"/>
  <c r="B64" i="3"/>
  <c r="B71" i="3"/>
  <c r="D71" i="3" s="1"/>
  <c r="B66" i="3"/>
  <c r="D66" i="3" s="1"/>
  <c r="B73" i="3"/>
  <c r="D73" i="3" s="1"/>
  <c r="B77" i="3"/>
  <c r="D77" i="3" s="1"/>
  <c r="D16" i="3"/>
  <c r="G16" i="3"/>
  <c r="S16" i="3"/>
  <c r="C16" i="3"/>
  <c r="O16" i="3"/>
  <c r="K16" i="3"/>
  <c r="L16" i="3"/>
  <c r="V16" i="3"/>
  <c r="F16" i="3"/>
  <c r="M16" i="3"/>
  <c r="H16" i="3"/>
  <c r="P16" i="3"/>
  <c r="R16" i="3"/>
  <c r="I16" i="3"/>
  <c r="N16" i="3"/>
  <c r="U16" i="3"/>
  <c r="E16" i="3"/>
  <c r="J16" i="3"/>
  <c r="Q16" i="3"/>
  <c r="T16" i="3"/>
  <c r="D65" i="3" l="1"/>
  <c r="G17" i="3" s="1"/>
  <c r="B77" i="4"/>
  <c r="D77" i="4" s="1"/>
  <c r="B69" i="4"/>
  <c r="D69" i="4" s="1"/>
  <c r="B80" i="4"/>
  <c r="D80" i="4" s="1"/>
  <c r="B72" i="4"/>
  <c r="D72" i="4" s="1"/>
  <c r="B66" i="4"/>
  <c r="B71" i="4"/>
  <c r="D71" i="4" s="1"/>
  <c r="B68" i="4"/>
  <c r="D68" i="4" s="1"/>
  <c r="B73" i="4"/>
  <c r="D73" i="4" s="1"/>
  <c r="B78" i="4"/>
  <c r="D78" i="4" s="1"/>
  <c r="B70" i="4"/>
  <c r="D70" i="4" s="1"/>
  <c r="B62" i="4"/>
  <c r="B67" i="4"/>
  <c r="D67" i="4" s="1"/>
  <c r="B76" i="4"/>
  <c r="D76" i="4" s="1"/>
  <c r="B64" i="4"/>
  <c r="B79" i="4"/>
  <c r="D79" i="4" s="1"/>
  <c r="B63" i="4"/>
  <c r="B74" i="4"/>
  <c r="D74" i="4" s="1"/>
  <c r="B65" i="4"/>
  <c r="B75" i="4"/>
  <c r="D75" i="4" s="1"/>
  <c r="B81" i="4"/>
  <c r="D81" i="4" s="1"/>
  <c r="C66" i="4"/>
  <c r="D66" i="4" s="1"/>
  <c r="C65" i="4"/>
  <c r="D65" i="4" s="1"/>
  <c r="C62" i="4"/>
  <c r="C63" i="4"/>
  <c r="D63" i="4" s="1"/>
  <c r="C64" i="4"/>
  <c r="R17" i="3"/>
  <c r="D62" i="3"/>
  <c r="D17" i="3" s="1"/>
  <c r="D19" i="3" s="1"/>
  <c r="D21" i="3" s="1"/>
  <c r="D39" i="3"/>
  <c r="C22" i="3" s="1"/>
  <c r="K17" i="3"/>
  <c r="K19" i="3" s="1"/>
  <c r="K21" i="3" s="1"/>
  <c r="V19" i="3"/>
  <c r="V21" i="3" s="1"/>
  <c r="V23" i="3" s="1"/>
  <c r="T17" i="3"/>
  <c r="T19" i="3" s="1"/>
  <c r="T21" i="3" s="1"/>
  <c r="T23" i="3" s="1"/>
  <c r="D63" i="3"/>
  <c r="E17" i="3" s="1"/>
  <c r="E19" i="3" s="1"/>
  <c r="E21" i="3" s="1"/>
  <c r="C81" i="3"/>
  <c r="B40" i="4"/>
  <c r="D40" i="4"/>
  <c r="C24" i="4" s="1"/>
  <c r="C25" i="4" s="1"/>
  <c r="O26" i="3"/>
  <c r="O17" i="3"/>
  <c r="O19" i="3" s="1"/>
  <c r="O21" i="3" s="1"/>
  <c r="O23" i="3" s="1"/>
  <c r="O24" i="3" s="1"/>
  <c r="H26" i="3"/>
  <c r="H17" i="3"/>
  <c r="H19" i="3" s="1"/>
  <c r="H21" i="3" s="1"/>
  <c r="L26" i="3"/>
  <c r="L17" i="3"/>
  <c r="L19" i="3" s="1"/>
  <c r="L21" i="3" s="1"/>
  <c r="B81" i="3"/>
  <c r="M26" i="3"/>
  <c r="M17" i="3"/>
  <c r="M19" i="3" s="1"/>
  <c r="M21" i="3" s="1"/>
  <c r="P26" i="3"/>
  <c r="P17" i="3"/>
  <c r="P19" i="3" s="1"/>
  <c r="P21" i="3" s="1"/>
  <c r="P23" i="3" s="1"/>
  <c r="P24" i="3" s="1"/>
  <c r="Q26" i="3"/>
  <c r="Q17" i="3"/>
  <c r="Q19" i="3" s="1"/>
  <c r="Q21" i="3" s="1"/>
  <c r="Q23" i="3" s="1"/>
  <c r="Q24" i="3" s="1"/>
  <c r="U26" i="3"/>
  <c r="U17" i="3"/>
  <c r="U19" i="3" s="1"/>
  <c r="U21" i="3" s="1"/>
  <c r="U23" i="3" s="1"/>
  <c r="N26" i="3"/>
  <c r="N17" i="3"/>
  <c r="N19" i="3" s="1"/>
  <c r="N21" i="3" s="1"/>
  <c r="S26" i="3"/>
  <c r="S17" i="3"/>
  <c r="S19" i="3" s="1"/>
  <c r="S21" i="3" s="1"/>
  <c r="S23" i="3" s="1"/>
  <c r="S24" i="3" s="1"/>
  <c r="D64" i="3"/>
  <c r="J26" i="3"/>
  <c r="J17" i="3"/>
  <c r="J19" i="3" s="1"/>
  <c r="J21" i="3" s="1"/>
  <c r="R19" i="3"/>
  <c r="R21" i="3" s="1"/>
  <c r="R23" i="3" s="1"/>
  <c r="R24" i="3" s="1"/>
  <c r="I19" i="3"/>
  <c r="I21" i="3" s="1"/>
  <c r="C26" i="3"/>
  <c r="C19" i="3"/>
  <c r="C21" i="3" s="1"/>
  <c r="G26" i="3"/>
  <c r="G19" i="3"/>
  <c r="G21" i="3" s="1"/>
  <c r="C50" i="3"/>
  <c r="C46" i="3"/>
  <c r="C42" i="3"/>
  <c r="C45" i="3"/>
  <c r="C48" i="3"/>
  <c r="C44" i="3"/>
  <c r="C40" i="3"/>
  <c r="C47" i="3"/>
  <c r="C43" i="3"/>
  <c r="C39" i="3"/>
  <c r="C49" i="3"/>
  <c r="C41" i="3"/>
  <c r="D64" i="4" l="1"/>
  <c r="D26" i="3"/>
  <c r="D28" i="4"/>
  <c r="D19" i="4"/>
  <c r="D21" i="4" s="1"/>
  <c r="D23" i="4" s="1"/>
  <c r="O28" i="4"/>
  <c r="O19" i="4"/>
  <c r="O21" i="4" s="1"/>
  <c r="O23" i="4" s="1"/>
  <c r="O25" i="4" s="1"/>
  <c r="O26" i="4" s="1"/>
  <c r="O27" i="4" s="1"/>
  <c r="Q28" i="4"/>
  <c r="Q19" i="4"/>
  <c r="Q21" i="4" s="1"/>
  <c r="Q23" i="4" s="1"/>
  <c r="Q25" i="4" s="1"/>
  <c r="Q26" i="4" s="1"/>
  <c r="Q27" i="4" s="1"/>
  <c r="Q30" i="4" s="1"/>
  <c r="S28" i="4"/>
  <c r="S19" i="4"/>
  <c r="S21" i="4" s="1"/>
  <c r="S23" i="4" s="1"/>
  <c r="S25" i="4" s="1"/>
  <c r="S26" i="4" s="1"/>
  <c r="S27" i="4" s="1"/>
  <c r="R28" i="4"/>
  <c r="R19" i="4"/>
  <c r="R21" i="4" s="1"/>
  <c r="R23" i="4" s="1"/>
  <c r="R25" i="4" s="1"/>
  <c r="R26" i="4" s="1"/>
  <c r="R27" i="4" s="1"/>
  <c r="R30" i="4" s="1"/>
  <c r="D62" i="4"/>
  <c r="C28" i="4" s="1"/>
  <c r="C82" i="4"/>
  <c r="V28" i="4"/>
  <c r="V19" i="4"/>
  <c r="V21" i="4" s="1"/>
  <c r="V23" i="4" s="1"/>
  <c r="V25" i="4" s="1"/>
  <c r="V26" i="4" s="1"/>
  <c r="V27" i="4" s="1"/>
  <c r="V30" i="4" s="1"/>
  <c r="H28" i="4"/>
  <c r="H19" i="4"/>
  <c r="H21" i="4" s="1"/>
  <c r="H23" i="4" s="1"/>
  <c r="N28" i="4"/>
  <c r="N19" i="4"/>
  <c r="N21" i="4" s="1"/>
  <c r="N23" i="4" s="1"/>
  <c r="M28" i="4"/>
  <c r="M19" i="4"/>
  <c r="M21" i="4" s="1"/>
  <c r="M23" i="4" s="1"/>
  <c r="F28" i="4"/>
  <c r="F19" i="4"/>
  <c r="F21" i="4" s="1"/>
  <c r="F23" i="4" s="1"/>
  <c r="P28" i="4"/>
  <c r="P19" i="4"/>
  <c r="P21" i="4" s="1"/>
  <c r="P23" i="4" s="1"/>
  <c r="P25" i="4" s="1"/>
  <c r="P26" i="4" s="1"/>
  <c r="P27" i="4" s="1"/>
  <c r="T28" i="4"/>
  <c r="T19" i="4"/>
  <c r="T21" i="4" s="1"/>
  <c r="T23" i="4" s="1"/>
  <c r="T25" i="4" s="1"/>
  <c r="T26" i="4" s="1"/>
  <c r="T27" i="4" s="1"/>
  <c r="T30" i="4" s="1"/>
  <c r="B82" i="4"/>
  <c r="I28" i="4"/>
  <c r="I19" i="4"/>
  <c r="I21" i="4" s="1"/>
  <c r="I23" i="4" s="1"/>
  <c r="U28" i="4"/>
  <c r="U19" i="4"/>
  <c r="U21" i="4" s="1"/>
  <c r="U23" i="4" s="1"/>
  <c r="U25" i="4" s="1"/>
  <c r="U26" i="4" s="1"/>
  <c r="U27" i="4" s="1"/>
  <c r="E28" i="4"/>
  <c r="E19" i="4"/>
  <c r="E21" i="4" s="1"/>
  <c r="E23" i="4" s="1"/>
  <c r="G28" i="4"/>
  <c r="G19" i="4"/>
  <c r="G21" i="4" s="1"/>
  <c r="G23" i="4" s="1"/>
  <c r="K28" i="4"/>
  <c r="K19" i="4"/>
  <c r="K21" i="4" s="1"/>
  <c r="K23" i="4" s="1"/>
  <c r="L28" i="4"/>
  <c r="L19" i="4"/>
  <c r="L21" i="4" s="1"/>
  <c r="L23" i="4" s="1"/>
  <c r="J28" i="4"/>
  <c r="J19" i="4"/>
  <c r="J21" i="4" s="1"/>
  <c r="J23" i="4" s="1"/>
  <c r="E39" i="3"/>
  <c r="B40" i="3" s="1"/>
  <c r="D40" i="3" s="1"/>
  <c r="D22" i="3" s="1"/>
  <c r="D23" i="3" s="1"/>
  <c r="D24" i="3" s="1"/>
  <c r="C23" i="3"/>
  <c r="C24" i="3" s="1"/>
  <c r="D81" i="3"/>
  <c r="T24" i="3"/>
  <c r="T25" i="3" s="1"/>
  <c r="T28" i="3" s="1"/>
  <c r="E26" i="3"/>
  <c r="C26" i="4"/>
  <c r="C27" i="4" s="1"/>
  <c r="U24" i="3"/>
  <c r="U25" i="3" s="1"/>
  <c r="V24" i="3"/>
  <c r="V25" i="3" s="1"/>
  <c r="C50" i="4"/>
  <c r="C49" i="4"/>
  <c r="C48" i="4"/>
  <c r="C44" i="4"/>
  <c r="C51" i="4"/>
  <c r="C46" i="4"/>
  <c r="C41" i="4"/>
  <c r="C43" i="4"/>
  <c r="C47" i="4"/>
  <c r="C42" i="4"/>
  <c r="C45" i="4"/>
  <c r="C40" i="4"/>
  <c r="E40" i="4" s="1"/>
  <c r="B41" i="4" s="1"/>
  <c r="D41" i="4" s="1"/>
  <c r="D24" i="4" s="1"/>
  <c r="O25" i="3"/>
  <c r="S25" i="3"/>
  <c r="Q25" i="3"/>
  <c r="P25" i="3"/>
  <c r="P28" i="3" s="1"/>
  <c r="R25" i="3"/>
  <c r="F26" i="3"/>
  <c r="F17" i="3"/>
  <c r="F19" i="3" s="1"/>
  <c r="F21" i="3" s="1"/>
  <c r="D25" i="4" l="1"/>
  <c r="D26" i="4" s="1"/>
  <c r="D27" i="4" s="1"/>
  <c r="F39" i="3"/>
  <c r="C27" i="3" s="1"/>
  <c r="P30" i="4"/>
  <c r="D82" i="4"/>
  <c r="S30" i="4"/>
  <c r="O30" i="4"/>
  <c r="U30" i="4"/>
  <c r="C25" i="3"/>
  <c r="F40" i="4"/>
  <c r="C29" i="4" s="1"/>
  <c r="C30" i="4" s="1"/>
  <c r="E41" i="4"/>
  <c r="B42" i="4" s="1"/>
  <c r="D25" i="3"/>
  <c r="O28" i="3"/>
  <c r="U28" i="3"/>
  <c r="R28" i="3"/>
  <c r="S28" i="3"/>
  <c r="Q28" i="3"/>
  <c r="V28" i="3"/>
  <c r="E40" i="3"/>
  <c r="B41" i="3" s="1"/>
  <c r="D41" i="3" s="1"/>
  <c r="C28" i="3" l="1"/>
  <c r="F41" i="4"/>
  <c r="D29" i="4" s="1"/>
  <c r="D30" i="4" s="1"/>
  <c r="D42" i="4"/>
  <c r="E24" i="4" s="1"/>
  <c r="E25" i="4" s="1"/>
  <c r="E26" i="4" s="1"/>
  <c r="F40" i="3"/>
  <c r="D27" i="3" s="1"/>
  <c r="D28" i="3" s="1"/>
  <c r="E41" i="3"/>
  <c r="E22" i="3"/>
  <c r="E23" i="3" s="1"/>
  <c r="E24" i="3" l="1"/>
  <c r="E25" i="3" s="1"/>
  <c r="E27" i="4"/>
  <c r="E42" i="4"/>
  <c r="B42" i="3"/>
  <c r="D42" i="3" s="1"/>
  <c r="F41" i="3"/>
  <c r="B43" i="4" l="1"/>
  <c r="F42" i="4"/>
  <c r="E27" i="3"/>
  <c r="E28" i="3" s="1"/>
  <c r="F22" i="3"/>
  <c r="F23" i="3" s="1"/>
  <c r="F24" i="3" l="1"/>
  <c r="F25" i="3" s="1"/>
  <c r="E29" i="4"/>
  <c r="E30" i="4" s="1"/>
  <c r="D43" i="4"/>
  <c r="F24" i="4" s="1"/>
  <c r="F25" i="4" s="1"/>
  <c r="F26" i="4" s="1"/>
  <c r="E42" i="3"/>
  <c r="B43" i="3" s="1"/>
  <c r="D43" i="3" s="1"/>
  <c r="G22" i="3" s="1"/>
  <c r="G23" i="3" s="1"/>
  <c r="G24" i="3" s="1"/>
  <c r="G25" i="3" l="1"/>
  <c r="F27" i="4"/>
  <c r="E43" i="4"/>
  <c r="F42" i="3"/>
  <c r="F27" i="3" s="1"/>
  <c r="F28" i="3" s="1"/>
  <c r="E43" i="3"/>
  <c r="B44" i="4" l="1"/>
  <c r="F43" i="4"/>
  <c r="B44" i="3"/>
  <c r="D44" i="3" s="1"/>
  <c r="F43" i="3"/>
  <c r="D44" i="4" l="1"/>
  <c r="G24" i="4" s="1"/>
  <c r="G25" i="4" s="1"/>
  <c r="G26" i="4" s="1"/>
  <c r="F29" i="4"/>
  <c r="F30" i="4" s="1"/>
  <c r="G27" i="3"/>
  <c r="G28" i="3" s="1"/>
  <c r="G27" i="4" l="1"/>
  <c r="E44" i="4"/>
  <c r="E44" i="3"/>
  <c r="H22" i="3"/>
  <c r="H23" i="3" l="1"/>
  <c r="B45" i="4"/>
  <c r="F44" i="4"/>
  <c r="B45" i="3"/>
  <c r="D45" i="3" s="1"/>
  <c r="F44" i="3"/>
  <c r="H27" i="3" s="1"/>
  <c r="H24" i="3" l="1"/>
  <c r="H25" i="3" s="1"/>
  <c r="H28" i="3" s="1"/>
  <c r="G29" i="4"/>
  <c r="G30" i="4" s="1"/>
  <c r="D45" i="4"/>
  <c r="H24" i="4" s="1"/>
  <c r="H25" i="4" s="1"/>
  <c r="H26" i="4" s="1"/>
  <c r="E45" i="3"/>
  <c r="I22" i="3"/>
  <c r="I23" i="3" s="1"/>
  <c r="I24" i="3" s="1"/>
  <c r="I25" i="3" l="1"/>
  <c r="E45" i="4"/>
  <c r="B46" i="4" s="1"/>
  <c r="D46" i="4" s="1"/>
  <c r="I24" i="4" s="1"/>
  <c r="I25" i="4" s="1"/>
  <c r="I26" i="4" s="1"/>
  <c r="H27" i="4"/>
  <c r="B46" i="3"/>
  <c r="D46" i="3" s="1"/>
  <c r="F45" i="3"/>
  <c r="I27" i="3" s="1"/>
  <c r="F45" i="4" l="1"/>
  <c r="H29" i="4" s="1"/>
  <c r="H30" i="4" s="1"/>
  <c r="I27" i="4"/>
  <c r="E46" i="4"/>
  <c r="I28" i="3"/>
  <c r="B47" i="4" l="1"/>
  <c r="F46" i="4"/>
  <c r="I29" i="4" s="1"/>
  <c r="I30" i="4" s="1"/>
  <c r="E46" i="3"/>
  <c r="J22" i="3"/>
  <c r="J23" i="3" s="1"/>
  <c r="J24" i="3" s="1"/>
  <c r="J25" i="3" l="1"/>
  <c r="D47" i="4"/>
  <c r="J24" i="4" s="1"/>
  <c r="J25" i="4" s="1"/>
  <c r="J26" i="4" s="1"/>
  <c r="B47" i="3"/>
  <c r="D47" i="3" s="1"/>
  <c r="F46" i="3"/>
  <c r="J27" i="3" s="1"/>
  <c r="E47" i="4" l="1"/>
  <c r="B48" i="4" s="1"/>
  <c r="D48" i="4" s="1"/>
  <c r="K24" i="4" s="1"/>
  <c r="K25" i="4" s="1"/>
  <c r="K26" i="4" s="1"/>
  <c r="J27" i="4"/>
  <c r="J28" i="3"/>
  <c r="F47" i="4" l="1"/>
  <c r="J29" i="4" s="1"/>
  <c r="J30" i="4" s="1"/>
  <c r="K27" i="4"/>
  <c r="E48" i="4"/>
  <c r="E47" i="3"/>
  <c r="K22" i="3"/>
  <c r="K23" i="3" s="1"/>
  <c r="K24" i="3" s="1"/>
  <c r="K25" i="3" l="1"/>
  <c r="B49" i="4"/>
  <c r="F48" i="4"/>
  <c r="K29" i="4" s="1"/>
  <c r="K30" i="4" s="1"/>
  <c r="B48" i="3"/>
  <c r="D48" i="3" s="1"/>
  <c r="F47" i="3"/>
  <c r="K27" i="3" s="1"/>
  <c r="D49" i="4" l="1"/>
  <c r="L24" i="4" s="1"/>
  <c r="L25" i="4" s="1"/>
  <c r="L26" i="4" s="1"/>
  <c r="K28" i="3"/>
  <c r="L27" i="4" l="1"/>
  <c r="E49" i="4"/>
  <c r="E48" i="3"/>
  <c r="L22" i="3"/>
  <c r="L23" i="3" s="1"/>
  <c r="L24" i="3" s="1"/>
  <c r="L25" i="3" l="1"/>
  <c r="B50" i="4"/>
  <c r="F49" i="4"/>
  <c r="L29" i="4" s="1"/>
  <c r="L30" i="4" s="1"/>
  <c r="B49" i="3"/>
  <c r="D49" i="3" s="1"/>
  <c r="F48" i="3"/>
  <c r="L27" i="3" s="1"/>
  <c r="D50" i="4" l="1"/>
  <c r="M24" i="4" s="1"/>
  <c r="M25" i="4" s="1"/>
  <c r="M26" i="4" s="1"/>
  <c r="L28" i="3"/>
  <c r="E49" i="3"/>
  <c r="M22" i="3"/>
  <c r="M23" i="3" s="1"/>
  <c r="M24" i="3" l="1"/>
  <c r="M25" i="3" s="1"/>
  <c r="E50" i="4"/>
  <c r="B51" i="4" s="1"/>
  <c r="D51" i="4" s="1"/>
  <c r="N24" i="4" s="1"/>
  <c r="N25" i="4" s="1"/>
  <c r="N26" i="4" s="1"/>
  <c r="M27" i="4"/>
  <c r="B50" i="3"/>
  <c r="D50" i="3" s="1"/>
  <c r="F49" i="3"/>
  <c r="M27" i="3" s="1"/>
  <c r="F50" i="4" l="1"/>
  <c r="M29" i="4" s="1"/>
  <c r="M30" i="4" s="1"/>
  <c r="N27" i="4"/>
  <c r="E51" i="4"/>
  <c r="F51" i="4" s="1"/>
  <c r="N29" i="4" s="1"/>
  <c r="M28" i="3"/>
  <c r="N22" i="3"/>
  <c r="N23" i="3" s="1"/>
  <c r="N24" i="3" l="1"/>
  <c r="N25" i="3" s="1"/>
  <c r="N30" i="4"/>
  <c r="F32" i="4" s="1"/>
  <c r="G51" i="4"/>
  <c r="E50" i="3"/>
  <c r="F50" i="3" s="1"/>
  <c r="B32" i="4" l="1"/>
  <c r="G50" i="3"/>
  <c r="N27" i="3"/>
  <c r="N28" i="3" s="1"/>
  <c r="W28" i="3" s="1"/>
  <c r="H32" i="3" l="1"/>
  <c r="B30" i="3"/>
  <c r="F30" i="3"/>
</calcChain>
</file>

<file path=xl/sharedStrings.xml><?xml version="1.0" encoding="utf-8"?>
<sst xmlns="http://schemas.openxmlformats.org/spreadsheetml/2006/main" count="184" uniqueCount="120">
  <si>
    <t>Año</t>
  </si>
  <si>
    <t>Inversión</t>
  </si>
  <si>
    <t>Ingresos</t>
  </si>
  <si>
    <t>El Proyecto:</t>
  </si>
  <si>
    <t>Porcentaje</t>
  </si>
  <si>
    <t>5 al 20</t>
  </si>
  <si>
    <t>Las inversiones se realizarán todas en el año 0, así:</t>
  </si>
  <si>
    <t>INVERSION</t>
  </si>
  <si>
    <t>MONTO</t>
  </si>
  <si>
    <t>Los costos se han estimado así:</t>
  </si>
  <si>
    <t>Para realizar la inversión, los accionistas aportarán un 30% del total de la inversión y solicitarán un préstamo</t>
  </si>
  <si>
    <t>por el restante 70% a 12 años plazo y a un interés del 10%</t>
  </si>
  <si>
    <t>Porcentaje de venta</t>
  </si>
  <si>
    <t>EGRESOS</t>
  </si>
  <si>
    <t>UTILIDAD BRUTA</t>
  </si>
  <si>
    <t>UTILIDAD OPERATIVA</t>
  </si>
  <si>
    <t>AÑO</t>
  </si>
  <si>
    <t>UTILIDAD ANTES DE IMP. E INT.</t>
  </si>
  <si>
    <t>Impuestos</t>
  </si>
  <si>
    <t>UTILIDAD NETA</t>
  </si>
  <si>
    <t>(+) Depreciación e intangibles</t>
  </si>
  <si>
    <t>(-) Amortizaciones Préstamo</t>
  </si>
  <si>
    <t>FLUJO DE CAJA NETO</t>
  </si>
  <si>
    <t>Intereses del Préstamo</t>
  </si>
  <si>
    <t>UTILIDAD ANTES DE IMPUESTOS</t>
  </si>
  <si>
    <t>Inversión Inicial</t>
  </si>
  <si>
    <t>INVERSION TOTAL</t>
  </si>
  <si>
    <t>Aporte accionistas</t>
  </si>
  <si>
    <t>PRESTAMO</t>
  </si>
  <si>
    <t>CAPITAL</t>
  </si>
  <si>
    <t>INTERES</t>
  </si>
  <si>
    <t>SALDO</t>
  </si>
  <si>
    <t>CUOTA</t>
  </si>
  <si>
    <t>PRESTAMO A LARGO PLAZO</t>
  </si>
  <si>
    <t>DEPRECIACION</t>
  </si>
  <si>
    <t>Infraestructura</t>
  </si>
  <si>
    <t>Inversión en infraestructura</t>
  </si>
  <si>
    <t>La Infraestrucutra se deprecia en 20 años</t>
  </si>
  <si>
    <t>INFRAESTRUCTURA</t>
  </si>
  <si>
    <t>DEP. ANUAL</t>
  </si>
  <si>
    <t>CUADRO DE DEPRECIACION</t>
  </si>
  <si>
    <t>INFRAEST.</t>
  </si>
  <si>
    <t>MAQ. Y EQ.</t>
  </si>
  <si>
    <t>TOTAL</t>
  </si>
  <si>
    <t>AMORTIZ.</t>
  </si>
  <si>
    <t>RUBRO</t>
  </si>
  <si>
    <t xml:space="preserve">             Tasa de interés:</t>
  </si>
  <si>
    <t>Valor de rescate</t>
  </si>
  <si>
    <t>Se considera un mercado sin inflación</t>
  </si>
  <si>
    <t>VALOR PRESENTE NETO</t>
  </si>
  <si>
    <t xml:space="preserve">              TASA INTERNA DE RETORNO</t>
  </si>
  <si>
    <t>Aporte de accionistas (%)</t>
  </si>
  <si>
    <t>AÑOS</t>
  </si>
  <si>
    <t>Tasa de Oportunidad</t>
  </si>
  <si>
    <t>Disminucion de Ingresos</t>
  </si>
  <si>
    <t>ANALISIS DE SENSIBILIDAD</t>
  </si>
  <si>
    <t>PARAMETRO</t>
  </si>
  <si>
    <t>PORCENTAJE</t>
  </si>
  <si>
    <t>FACTOR</t>
  </si>
  <si>
    <t>Los impuestos a pagar por utilidades es del</t>
  </si>
  <si>
    <t>Implementación de un RAPS: Redes Ambientales Peatonales Seguras</t>
  </si>
  <si>
    <t>Capacidad mensual de viajes diarios de bicicletas</t>
  </si>
  <si>
    <t>Porcentaje anual estimado de utilización</t>
  </si>
  <si>
    <t>Promedio viajes diarios</t>
  </si>
  <si>
    <t>viajes</t>
  </si>
  <si>
    <t>días por mes</t>
  </si>
  <si>
    <t>total viajes por mes</t>
  </si>
  <si>
    <t>Costo del viaje</t>
  </si>
  <si>
    <t>Compra de bicicletas</t>
  </si>
  <si>
    <t>Costo de bicicleta</t>
  </si>
  <si>
    <t>Inversión en bicicletas</t>
  </si>
  <si>
    <t>Estacionamientos bicicletas</t>
  </si>
  <si>
    <t>Las bicicletas se deprecia en 5 años y los estacionamientos y la infraestrucutra en 20 años. Ambos de forma lineal</t>
  </si>
  <si>
    <t>El valor de rescate esperado al final de los 20 años es el 20% del valor de la infraestructura</t>
  </si>
  <si>
    <t>Costo de mantenimiento</t>
  </si>
  <si>
    <t>Gastos de operación</t>
  </si>
  <si>
    <t>costo de administración</t>
  </si>
  <si>
    <t>Precio de alquiler</t>
  </si>
  <si>
    <t>Inversión en bicicletas y estacionamientos</t>
  </si>
  <si>
    <t>Las bicicletas y estacionamientos se deprecia en 5 años</t>
  </si>
  <si>
    <t>EVALUACION FINANCIERA RAPS</t>
  </si>
  <si>
    <t>Alquiler mensual</t>
  </si>
  <si>
    <t>Alquiler anual</t>
  </si>
  <si>
    <t>viajes mes</t>
  </si>
  <si>
    <t>Racks para bicicletas</t>
  </si>
  <si>
    <t>Costo por Rack</t>
  </si>
  <si>
    <t>Inversión en Racks</t>
  </si>
  <si>
    <t>Porcentaje de alquiler</t>
  </si>
  <si>
    <t>Incremento de costos</t>
  </si>
  <si>
    <t>BASE DE DATOS GENERALES PARA PROYECTO 2: Antiguo Cuscatlán</t>
  </si>
  <si>
    <t>Cruces en intersecciones</t>
  </si>
  <si>
    <t>Al sur de la Carretera Panamericana</t>
  </si>
  <si>
    <t>Al norte de la Carretera Panamericana</t>
  </si>
  <si>
    <t>Costo por cruce</t>
  </si>
  <si>
    <t>COSTO TOTAL</t>
  </si>
  <si>
    <t>Conexiones norte - sur</t>
  </si>
  <si>
    <t>Carreterra Panamericana</t>
  </si>
  <si>
    <t>1 en Plaza el Soldado - Basílica de Guadalupe; 1 en Multiplaza-Alcaldía antiguo Cuscatlan</t>
  </si>
  <si>
    <t>Costo por conexión</t>
  </si>
  <si>
    <t>Señalización vertical de la ruta</t>
  </si>
  <si>
    <t>Suma global</t>
  </si>
  <si>
    <t>COSTO TOTAL INFRAESTRUCTURA</t>
  </si>
  <si>
    <t>Multiplaza</t>
  </si>
  <si>
    <t>Plaza soldado</t>
  </si>
  <si>
    <t>Sur</t>
  </si>
  <si>
    <t>Norte</t>
  </si>
  <si>
    <t>8% de usuarios de un total aproximado de 22,800 Cenros Comerciales + 18,000 estudiantes universidades</t>
  </si>
  <si>
    <t>RAPS ANTIGUO CUSCATLAN</t>
  </si>
  <si>
    <t>TIENDAS ANTENA</t>
  </si>
  <si>
    <t>CANTIDAD</t>
  </si>
  <si>
    <t>COSTO/mt2</t>
  </si>
  <si>
    <t>AREA</t>
  </si>
  <si>
    <t>COSTO</t>
  </si>
  <si>
    <t>Plaza del Soldado</t>
  </si>
  <si>
    <t>INGRESOS</t>
  </si>
  <si>
    <t>ALQUILERES</t>
  </si>
  <si>
    <t>ALQUILER/MES</t>
  </si>
  <si>
    <t>MESES</t>
  </si>
  <si>
    <t>Inversión Tiendas Antena</t>
  </si>
  <si>
    <t>Otros ingresos (Tiendas Antena)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</si>
</sst>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88">
    <xf numFmtId="0" fontId="0" fillId="0" borderId="0" xfId="0"/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0" xfId="0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0" fontId="0" fillId="0" borderId="1" xfId="0" applyNumberFormat="1" applyBorder="1" applyAlignment="1">
      <alignment horizontal="center"/>
    </xf>
    <xf numFmtId="0" fontId="0" fillId="0" borderId="1" xfId="0" applyBorder="1"/>
    <xf numFmtId="4" fontId="0" fillId="0" borderId="1" xfId="0" applyNumberFormat="1" applyBorder="1"/>
    <xf numFmtId="4" fontId="0" fillId="0" borderId="0" xfId="0" applyNumberFormat="1" applyBorder="1"/>
    <xf numFmtId="0" fontId="0" fillId="0" borderId="0" xfId="0" applyFill="1" applyBorder="1"/>
    <xf numFmtId="10" fontId="0" fillId="0" borderId="0" xfId="0" applyNumberFormat="1"/>
    <xf numFmtId="4" fontId="0" fillId="0" borderId="0" xfId="0" applyNumberFormat="1"/>
    <xf numFmtId="4" fontId="1" fillId="0" borderId="0" xfId="0" applyNumberFormat="1" applyFont="1"/>
    <xf numFmtId="1" fontId="0" fillId="0" borderId="0" xfId="0" applyNumberFormat="1"/>
    <xf numFmtId="4" fontId="1" fillId="0" borderId="0" xfId="0" applyNumberFormat="1" applyFont="1" applyAlignment="1">
      <alignment horizontal="center"/>
    </xf>
    <xf numFmtId="4" fontId="0" fillId="0" borderId="0" xfId="0" applyNumberFormat="1" applyFont="1"/>
    <xf numFmtId="0" fontId="1" fillId="0" borderId="1" xfId="0" applyFont="1" applyFill="1" applyBorder="1" applyAlignment="1">
      <alignment horizontal="right"/>
    </xf>
    <xf numFmtId="4" fontId="1" fillId="0" borderId="1" xfId="0" applyNumberFormat="1" applyFont="1" applyBorder="1"/>
    <xf numFmtId="4" fontId="1" fillId="0" borderId="1" xfId="0" applyNumberFormat="1" applyFont="1" applyBorder="1" applyAlignment="1">
      <alignment horizontal="center"/>
    </xf>
    <xf numFmtId="4" fontId="2" fillId="0" borderId="1" xfId="0" applyNumberFormat="1" applyFont="1" applyBorder="1"/>
    <xf numFmtId="4" fontId="3" fillId="0" borderId="1" xfId="0" applyNumberFormat="1" applyFont="1" applyBorder="1" applyAlignment="1">
      <alignment horizontal="center"/>
    </xf>
    <xf numFmtId="4" fontId="3" fillId="0" borderId="1" xfId="0" applyNumberFormat="1" applyFont="1" applyBorder="1"/>
    <xf numFmtId="4" fontId="3" fillId="0" borderId="1" xfId="0" applyNumberFormat="1" applyFont="1" applyBorder="1" applyAlignment="1">
      <alignment horizontal="centerContinuous" vertical="center"/>
    </xf>
    <xf numFmtId="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4" fontId="3" fillId="0" borderId="1" xfId="0" applyNumberFormat="1" applyFont="1" applyBorder="1" applyAlignment="1">
      <alignment horizontal="right"/>
    </xf>
    <xf numFmtId="10" fontId="0" fillId="0" borderId="1" xfId="0" applyNumberFormat="1" applyBorder="1"/>
    <xf numFmtId="166" fontId="0" fillId="0" borderId="0" xfId="0" applyNumberFormat="1"/>
    <xf numFmtId="166" fontId="1" fillId="0" borderId="0" xfId="0" applyNumberFormat="1" applyFont="1"/>
    <xf numFmtId="4" fontId="1" fillId="0" borderId="0" xfId="0" applyNumberFormat="1" applyFont="1" applyAlignment="1">
      <alignment horizontal="right"/>
    </xf>
    <xf numFmtId="10" fontId="1" fillId="0" borderId="0" xfId="0" applyNumberFormat="1" applyFont="1"/>
    <xf numFmtId="166" fontId="1" fillId="0" borderId="0" xfId="0" applyNumberFormat="1" applyFont="1" applyAlignment="1">
      <alignment horizontal="center"/>
    </xf>
    <xf numFmtId="4" fontId="0" fillId="0" borderId="5" xfId="0" applyNumberFormat="1" applyBorder="1"/>
    <xf numFmtId="4" fontId="0" fillId="0" borderId="6" xfId="0" applyNumberFormat="1" applyBorder="1"/>
    <xf numFmtId="4" fontId="1" fillId="0" borderId="7" xfId="0" applyNumberFormat="1" applyFont="1" applyBorder="1"/>
    <xf numFmtId="4" fontId="1" fillId="0" borderId="8" xfId="0" applyNumberFormat="1" applyFont="1" applyBorder="1"/>
    <xf numFmtId="4" fontId="1" fillId="0" borderId="9" xfId="0" applyNumberFormat="1" applyFont="1" applyBorder="1"/>
    <xf numFmtId="4" fontId="0" fillId="0" borderId="10" xfId="0" applyNumberFormat="1" applyBorder="1"/>
    <xf numFmtId="4" fontId="0" fillId="0" borderId="10" xfId="0" applyNumberFormat="1" applyFont="1" applyBorder="1"/>
    <xf numFmtId="4" fontId="1" fillId="2" borderId="7" xfId="0" applyNumberFormat="1" applyFont="1" applyFill="1" applyBorder="1"/>
    <xf numFmtId="4" fontId="1" fillId="2" borderId="8" xfId="0" applyNumberFormat="1" applyFont="1" applyFill="1" applyBorder="1"/>
    <xf numFmtId="4" fontId="1" fillId="2" borderId="9" xfId="0" applyNumberFormat="1" applyFont="1" applyFill="1" applyBorder="1"/>
    <xf numFmtId="4" fontId="1" fillId="2" borderId="1" xfId="0" applyNumberFormat="1" applyFont="1" applyFill="1" applyBorder="1"/>
    <xf numFmtId="0" fontId="2" fillId="0" borderId="0" xfId="0" applyFont="1"/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4" fontId="3" fillId="0" borderId="0" xfId="0" applyNumberFormat="1" applyFont="1" applyAlignment="1">
      <alignment horizontal="center"/>
    </xf>
    <xf numFmtId="4" fontId="0" fillId="2" borderId="1" xfId="0" applyNumberFormat="1" applyFill="1" applyBorder="1"/>
    <xf numFmtId="10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4" fontId="0" fillId="0" borderId="1" xfId="0" applyNumberFormat="1" applyBorder="1" applyAlignment="1">
      <alignment horizontal="right"/>
    </xf>
    <xf numFmtId="4" fontId="3" fillId="0" borderId="1" xfId="0" applyNumberFormat="1" applyFont="1" applyBorder="1" applyAlignment="1">
      <alignment horizontal="center" vertical="center"/>
    </xf>
    <xf numFmtId="0" fontId="0" fillId="2" borderId="1" xfId="0" applyFill="1" applyBorder="1"/>
    <xf numFmtId="9" fontId="0" fillId="0" borderId="0" xfId="3" applyFont="1"/>
    <xf numFmtId="9" fontId="0" fillId="0" borderId="1" xfId="3" applyFont="1" applyBorder="1"/>
    <xf numFmtId="0" fontId="0" fillId="0" borderId="1" xfId="0" applyFill="1" applyBorder="1" applyAlignment="1">
      <alignment horizontal="right"/>
    </xf>
    <xf numFmtId="164" fontId="0" fillId="0" borderId="1" xfId="2" applyFont="1" applyBorder="1"/>
    <xf numFmtId="0" fontId="0" fillId="0" borderId="12" xfId="0" applyBorder="1"/>
    <xf numFmtId="0" fontId="0" fillId="0" borderId="13" xfId="0" applyBorder="1"/>
    <xf numFmtId="165" fontId="0" fillId="0" borderId="14" xfId="1" applyFont="1" applyBorder="1"/>
    <xf numFmtId="0" fontId="0" fillId="0" borderId="15" xfId="0" applyBorder="1"/>
    <xf numFmtId="165" fontId="0" fillId="0" borderId="16" xfId="1" applyFont="1" applyBorder="1"/>
    <xf numFmtId="0" fontId="0" fillId="0" borderId="17" xfId="0" applyBorder="1"/>
    <xf numFmtId="0" fontId="0" fillId="0" borderId="18" xfId="0" applyBorder="1"/>
    <xf numFmtId="165" fontId="0" fillId="0" borderId="19" xfId="1" applyFont="1" applyBorder="1"/>
    <xf numFmtId="165" fontId="0" fillId="0" borderId="14" xfId="1" applyNumberFormat="1" applyFont="1" applyBorder="1"/>
    <xf numFmtId="165" fontId="0" fillId="0" borderId="16" xfId="1" applyNumberFormat="1" applyFont="1" applyBorder="1"/>
    <xf numFmtId="165" fontId="0" fillId="0" borderId="19" xfId="1" applyNumberFormat="1" applyFont="1" applyBorder="1"/>
    <xf numFmtId="0" fontId="0" fillId="0" borderId="0" xfId="0" applyFont="1"/>
    <xf numFmtId="164" fontId="0" fillId="0" borderId="0" xfId="2" applyFont="1"/>
    <xf numFmtId="164" fontId="0" fillId="0" borderId="0" xfId="2" applyFont="1" applyAlignment="1"/>
    <xf numFmtId="164" fontId="1" fillId="0" borderId="0" xfId="2" applyFont="1"/>
    <xf numFmtId="0" fontId="3" fillId="0" borderId="0" xfId="0" applyFont="1"/>
    <xf numFmtId="164" fontId="1" fillId="0" borderId="0" xfId="0" applyNumberFormat="1" applyFont="1"/>
    <xf numFmtId="4" fontId="1" fillId="0" borderId="0" xfId="0" applyNumberFormat="1" applyFont="1" applyAlignment="1"/>
    <xf numFmtId="0" fontId="0" fillId="0" borderId="0" xfId="0" applyAlignment="1">
      <alignment horizontal="right"/>
    </xf>
    <xf numFmtId="165" fontId="0" fillId="0" borderId="1" xfId="1" applyFont="1" applyBorder="1"/>
    <xf numFmtId="0" fontId="1" fillId="0" borderId="0" xfId="0" applyFont="1" applyFill="1" applyBorder="1"/>
    <xf numFmtId="165" fontId="1" fillId="0" borderId="1" xfId="1" applyFont="1" applyBorder="1" applyAlignment="1">
      <alignment horizontal="center"/>
    </xf>
    <xf numFmtId="4" fontId="1" fillId="0" borderId="2" xfId="0" applyNumberFormat="1" applyFont="1" applyBorder="1" applyAlignment="1">
      <alignment horizontal="center"/>
    </xf>
    <xf numFmtId="4" fontId="1" fillId="0" borderId="3" xfId="0" applyNumberFormat="1" applyFont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4" fontId="1" fillId="0" borderId="11" xfId="0" applyNumberFormat="1" applyFont="1" applyBorder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152400</xdr:colOff>
      <xdr:row>6</xdr:row>
      <xdr:rowOff>171450</xdr:rowOff>
    </xdr:from>
    <xdr:to>
      <xdr:col>15</xdr:col>
      <xdr:colOff>322901</xdr:colOff>
      <xdr:row>24</xdr:row>
      <xdr:rowOff>171929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53200" y="1885950"/>
          <a:ext cx="4572638" cy="3429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77"/>
  <sheetViews>
    <sheetView tabSelected="1" zoomScale="120" zoomScaleNormal="120" workbookViewId="0"/>
  </sheetViews>
  <sheetFormatPr defaultColWidth="9.140625" defaultRowHeight="15" x14ac:dyDescent="0.25"/>
  <cols>
    <col min="1" max="1" width="27.85546875" customWidth="1"/>
    <col min="2" max="2" width="13.28515625" customWidth="1"/>
    <col min="3" max="3" width="14.42578125" customWidth="1"/>
    <col min="4" max="4" width="13.28515625" bestFit="1" customWidth="1"/>
    <col min="5" max="5" width="11.85546875" customWidth="1"/>
    <col min="6" max="6" width="12.140625" bestFit="1" customWidth="1"/>
    <col min="9" max="9" width="11.140625" bestFit="1" customWidth="1"/>
  </cols>
  <sheetData>
    <row r="1" spans="1:7" x14ac:dyDescent="0.25">
      <c r="A1" s="4" t="s">
        <v>89</v>
      </c>
    </row>
    <row r="3" spans="1:7" x14ac:dyDescent="0.25">
      <c r="A3" s="4" t="s">
        <v>3</v>
      </c>
    </row>
    <row r="5" spans="1:7" x14ac:dyDescent="0.25">
      <c r="A5" s="4" t="s">
        <v>60</v>
      </c>
    </row>
    <row r="7" spans="1:7" x14ac:dyDescent="0.25">
      <c r="A7" t="s">
        <v>61</v>
      </c>
      <c r="D7" s="14">
        <f>+B10</f>
        <v>143616</v>
      </c>
      <c r="E7" t="s">
        <v>83</v>
      </c>
    </row>
    <row r="8" spans="1:7" x14ac:dyDescent="0.25">
      <c r="A8" s="52" t="s">
        <v>63</v>
      </c>
      <c r="B8">
        <f>+A66*2</f>
        <v>6528</v>
      </c>
      <c r="C8" t="s">
        <v>64</v>
      </c>
      <c r="D8" s="14"/>
    </row>
    <row r="9" spans="1:7" x14ac:dyDescent="0.25">
      <c r="A9" s="52" t="s">
        <v>65</v>
      </c>
      <c r="B9">
        <v>22</v>
      </c>
      <c r="D9" s="14"/>
    </row>
    <row r="10" spans="1:7" x14ac:dyDescent="0.25">
      <c r="A10" t="s">
        <v>66</v>
      </c>
      <c r="B10">
        <f>+B9*B8</f>
        <v>143616</v>
      </c>
      <c r="D10" s="14"/>
    </row>
    <row r="12" spans="1:7" x14ac:dyDescent="0.25">
      <c r="A12" t="s">
        <v>62</v>
      </c>
    </row>
    <row r="14" spans="1:7" x14ac:dyDescent="0.25">
      <c r="A14" s="5" t="s">
        <v>0</v>
      </c>
      <c r="B14" s="6" t="s">
        <v>4</v>
      </c>
      <c r="D14" s="45"/>
      <c r="G14" s="12"/>
    </row>
    <row r="15" spans="1:7" x14ac:dyDescent="0.25">
      <c r="A15" s="1">
        <v>1</v>
      </c>
      <c r="B15" s="7">
        <v>0.7</v>
      </c>
    </row>
    <row r="16" spans="1:7" x14ac:dyDescent="0.25">
      <c r="A16" s="1">
        <v>2</v>
      </c>
      <c r="B16" s="7">
        <v>0.75</v>
      </c>
    </row>
    <row r="17" spans="1:9" x14ac:dyDescent="0.25">
      <c r="A17" s="1">
        <v>3</v>
      </c>
      <c r="B17" s="7">
        <v>0.8</v>
      </c>
    </row>
    <row r="18" spans="1:9" x14ac:dyDescent="0.25">
      <c r="A18" s="1">
        <v>4</v>
      </c>
      <c r="B18" s="7">
        <v>0.9</v>
      </c>
    </row>
    <row r="19" spans="1:9" x14ac:dyDescent="0.25">
      <c r="A19" s="1" t="s">
        <v>5</v>
      </c>
      <c r="B19" s="7">
        <v>1</v>
      </c>
    </row>
    <row r="21" spans="1:9" x14ac:dyDescent="0.25">
      <c r="A21" t="s">
        <v>67</v>
      </c>
      <c r="D21" s="33">
        <v>0.4</v>
      </c>
      <c r="E21" t="s">
        <v>48</v>
      </c>
    </row>
    <row r="23" spans="1:9" x14ac:dyDescent="0.25">
      <c r="A23" t="s">
        <v>6</v>
      </c>
    </row>
    <row r="25" spans="1:9" ht="15.75" thickBot="1" x14ac:dyDescent="0.3">
      <c r="A25" s="5" t="s">
        <v>7</v>
      </c>
      <c r="B25" s="5" t="s">
        <v>8</v>
      </c>
    </row>
    <row r="26" spans="1:9" x14ac:dyDescent="0.25">
      <c r="A26" s="8" t="s">
        <v>68</v>
      </c>
      <c r="B26" s="9">
        <f>+F28</f>
        <v>120000</v>
      </c>
      <c r="D26" s="60" t="s">
        <v>68</v>
      </c>
      <c r="E26" s="61"/>
      <c r="F26" s="62">
        <v>150</v>
      </c>
      <c r="G26" s="60" t="s">
        <v>84</v>
      </c>
      <c r="H26" s="61"/>
      <c r="I26" s="68">
        <v>10</v>
      </c>
    </row>
    <row r="27" spans="1:9" x14ac:dyDescent="0.25">
      <c r="A27" s="8" t="s">
        <v>71</v>
      </c>
      <c r="B27" s="9">
        <f>+I28</f>
        <v>20000</v>
      </c>
      <c r="D27" s="63" t="s">
        <v>69</v>
      </c>
      <c r="E27" s="8"/>
      <c r="F27" s="64">
        <v>800</v>
      </c>
      <c r="G27" s="63" t="s">
        <v>85</v>
      </c>
      <c r="H27" s="8"/>
      <c r="I27" s="69">
        <v>2000</v>
      </c>
    </row>
    <row r="28" spans="1:9" ht="15.75" thickBot="1" x14ac:dyDescent="0.3">
      <c r="A28" s="55" t="s">
        <v>35</v>
      </c>
      <c r="B28" s="50">
        <f>+B60</f>
        <v>905899</v>
      </c>
      <c r="D28" s="65" t="s">
        <v>70</v>
      </c>
      <c r="E28" s="66"/>
      <c r="F28" s="67">
        <f>+F27*F26</f>
        <v>120000</v>
      </c>
      <c r="G28" s="65" t="s">
        <v>86</v>
      </c>
      <c r="H28" s="66"/>
      <c r="I28" s="70">
        <f>+I27*I26</f>
        <v>20000</v>
      </c>
    </row>
    <row r="29" spans="1:9" x14ac:dyDescent="0.25">
      <c r="A29" s="18" t="s">
        <v>26</v>
      </c>
      <c r="B29" s="19">
        <f>SUM(B26:B28)</f>
        <v>1045899</v>
      </c>
    </row>
    <row r="30" spans="1:9" x14ac:dyDescent="0.25">
      <c r="A30" s="3"/>
      <c r="B30" s="10"/>
    </row>
    <row r="31" spans="1:9" x14ac:dyDescent="0.25">
      <c r="A31" s="11" t="s">
        <v>10</v>
      </c>
      <c r="B31" s="10"/>
    </row>
    <row r="32" spans="1:9" x14ac:dyDescent="0.25">
      <c r="A32" s="11" t="s">
        <v>11</v>
      </c>
      <c r="B32" s="10"/>
    </row>
    <row r="34" spans="1:4" x14ac:dyDescent="0.25">
      <c r="A34" t="s">
        <v>72</v>
      </c>
    </row>
    <row r="35" spans="1:4" x14ac:dyDescent="0.25">
      <c r="A35" t="s">
        <v>73</v>
      </c>
    </row>
    <row r="37" spans="1:4" x14ac:dyDescent="0.25">
      <c r="A37" t="s">
        <v>9</v>
      </c>
    </row>
    <row r="39" spans="1:4" x14ac:dyDescent="0.25">
      <c r="A39" s="8" t="s">
        <v>74</v>
      </c>
      <c r="B39" s="59">
        <v>0.05</v>
      </c>
      <c r="C39" s="57">
        <f>+B39/D21</f>
        <v>0.125</v>
      </c>
    </row>
    <row r="40" spans="1:4" x14ac:dyDescent="0.25">
      <c r="A40" s="8" t="s">
        <v>75</v>
      </c>
      <c r="B40" s="59">
        <v>0.08</v>
      </c>
      <c r="C40" s="57">
        <f>+B40/D21</f>
        <v>0.19999999999999998</v>
      </c>
    </row>
    <row r="41" spans="1:4" x14ac:dyDescent="0.25">
      <c r="A41" s="8" t="s">
        <v>76</v>
      </c>
      <c r="B41" s="59">
        <v>0.08</v>
      </c>
      <c r="C41" s="57">
        <f>+B41/D21</f>
        <v>0.19999999999999998</v>
      </c>
      <c r="D41" s="56">
        <f>+C41+C40+C39</f>
        <v>0.52499999999999991</v>
      </c>
    </row>
    <row r="42" spans="1:4" x14ac:dyDescent="0.25">
      <c r="A42" s="58" t="s">
        <v>43</v>
      </c>
      <c r="B42" s="59">
        <f>SUM(B39:B41)</f>
        <v>0.21000000000000002</v>
      </c>
      <c r="C42" s="57">
        <f>+B42/D21</f>
        <v>0.52500000000000002</v>
      </c>
    </row>
    <row r="43" spans="1:4" x14ac:dyDescent="0.25">
      <c r="A43" t="s">
        <v>59</v>
      </c>
      <c r="C43" s="51">
        <v>0.3</v>
      </c>
    </row>
    <row r="45" spans="1:4" x14ac:dyDescent="0.25">
      <c r="A45" s="4" t="s">
        <v>38</v>
      </c>
    </row>
    <row r="46" spans="1:4" x14ac:dyDescent="0.25">
      <c r="A46" s="4" t="s">
        <v>90</v>
      </c>
      <c r="B46">
        <v>25</v>
      </c>
      <c r="C46" t="s">
        <v>91</v>
      </c>
    </row>
    <row r="47" spans="1:4" x14ac:dyDescent="0.25">
      <c r="B47">
        <v>9</v>
      </c>
      <c r="C47" t="s">
        <v>92</v>
      </c>
    </row>
    <row r="48" spans="1:4" x14ac:dyDescent="0.25">
      <c r="A48" s="4" t="s">
        <v>43</v>
      </c>
      <c r="B48" s="4">
        <f>+B47+B46</f>
        <v>34</v>
      </c>
    </row>
    <row r="49" spans="1:6" x14ac:dyDescent="0.25">
      <c r="A49" t="s">
        <v>93</v>
      </c>
      <c r="B49" s="73">
        <v>17266</v>
      </c>
    </row>
    <row r="50" spans="1:6" x14ac:dyDescent="0.25">
      <c r="A50" s="4" t="s">
        <v>94</v>
      </c>
      <c r="B50" s="74">
        <f>+B49*B48</f>
        <v>587044</v>
      </c>
    </row>
    <row r="52" spans="1:6" x14ac:dyDescent="0.25">
      <c r="A52" s="4" t="s">
        <v>95</v>
      </c>
    </row>
    <row r="53" spans="1:6" x14ac:dyDescent="0.25">
      <c r="A53" s="4" t="s">
        <v>96</v>
      </c>
      <c r="B53">
        <v>2</v>
      </c>
      <c r="C53" t="s">
        <v>97</v>
      </c>
    </row>
    <row r="54" spans="1:6" x14ac:dyDescent="0.25">
      <c r="A54" s="71" t="s">
        <v>98</v>
      </c>
      <c r="B54" s="72"/>
      <c r="C54" t="s">
        <v>102</v>
      </c>
      <c r="D54" s="72">
        <v>97530</v>
      </c>
    </row>
    <row r="55" spans="1:6" x14ac:dyDescent="0.25">
      <c r="A55" s="4" t="s">
        <v>94</v>
      </c>
      <c r="B55" s="74">
        <f>+D54+D55</f>
        <v>269920</v>
      </c>
      <c r="C55" t="s">
        <v>103</v>
      </c>
      <c r="D55" s="72">
        <v>172390</v>
      </c>
    </row>
    <row r="57" spans="1:6" x14ac:dyDescent="0.25">
      <c r="A57" s="4" t="s">
        <v>99</v>
      </c>
      <c r="C57" t="s">
        <v>104</v>
      </c>
      <c r="D57">
        <v>30420</v>
      </c>
      <c r="E57" t="s">
        <v>105</v>
      </c>
      <c r="F57">
        <v>18515</v>
      </c>
    </row>
    <row r="58" spans="1:6" x14ac:dyDescent="0.25">
      <c r="A58" t="s">
        <v>100</v>
      </c>
      <c r="B58" s="72">
        <f>+D57+F57</f>
        <v>48935</v>
      </c>
    </row>
    <row r="60" spans="1:6" x14ac:dyDescent="0.25">
      <c r="A60" s="75" t="s">
        <v>101</v>
      </c>
      <c r="B60" s="76">
        <f>+B58+B55+B50</f>
        <v>905899</v>
      </c>
    </row>
    <row r="63" spans="1:6" x14ac:dyDescent="0.25">
      <c r="A63" t="s">
        <v>106</v>
      </c>
    </row>
    <row r="64" spans="1:6" x14ac:dyDescent="0.25">
      <c r="A64" s="56">
        <v>0.08</v>
      </c>
    </row>
    <row r="65" spans="1:5" x14ac:dyDescent="0.25">
      <c r="A65" s="78">
        <f>22800+18000</f>
        <v>40800</v>
      </c>
    </row>
    <row r="66" spans="1:5" x14ac:dyDescent="0.25">
      <c r="A66">
        <f>+A65*A64</f>
        <v>3264</v>
      </c>
    </row>
    <row r="68" spans="1:5" x14ac:dyDescent="0.25">
      <c r="A68" s="4" t="s">
        <v>107</v>
      </c>
    </row>
    <row r="69" spans="1:5" x14ac:dyDescent="0.25">
      <c r="A69" s="5" t="s">
        <v>108</v>
      </c>
      <c r="B69" s="5" t="s">
        <v>109</v>
      </c>
      <c r="C69" s="5" t="s">
        <v>110</v>
      </c>
      <c r="D69" s="5" t="s">
        <v>111</v>
      </c>
      <c r="E69" s="5" t="s">
        <v>112</v>
      </c>
    </row>
    <row r="70" spans="1:5" x14ac:dyDescent="0.25">
      <c r="A70" s="8" t="s">
        <v>113</v>
      </c>
      <c r="B70" s="79">
        <v>3</v>
      </c>
      <c r="C70" s="79">
        <v>750</v>
      </c>
      <c r="D70" s="79">
        <v>6.25</v>
      </c>
      <c r="E70" s="79">
        <f>+D70*C70*B70</f>
        <v>14062.5</v>
      </c>
    </row>
    <row r="71" spans="1:5" x14ac:dyDescent="0.25">
      <c r="A71" s="8"/>
      <c r="B71" s="79"/>
      <c r="C71" s="79"/>
      <c r="D71" s="79"/>
      <c r="E71" s="79"/>
    </row>
    <row r="72" spans="1:5" x14ac:dyDescent="0.25">
      <c r="A72" s="8"/>
      <c r="B72" s="79"/>
      <c r="C72" s="79"/>
      <c r="D72" s="79"/>
      <c r="E72" s="79">
        <f>+E71+E70</f>
        <v>14062.5</v>
      </c>
    </row>
    <row r="74" spans="1:5" x14ac:dyDescent="0.25">
      <c r="A74" s="80" t="s">
        <v>114</v>
      </c>
    </row>
    <row r="75" spans="1:5" x14ac:dyDescent="0.25">
      <c r="A75" s="81" t="s">
        <v>115</v>
      </c>
      <c r="B75" s="81" t="s">
        <v>109</v>
      </c>
      <c r="C75" s="81" t="s">
        <v>116</v>
      </c>
      <c r="D75" s="81" t="s">
        <v>117</v>
      </c>
      <c r="E75" s="81" t="s">
        <v>16</v>
      </c>
    </row>
    <row r="76" spans="1:5" x14ac:dyDescent="0.25">
      <c r="A76" s="79" t="s">
        <v>113</v>
      </c>
      <c r="B76" s="79">
        <f>+B70</f>
        <v>3</v>
      </c>
      <c r="C76" s="79">
        <v>150</v>
      </c>
      <c r="D76" s="79">
        <v>12</v>
      </c>
      <c r="E76" s="79">
        <f>+D76*C76*B76</f>
        <v>5400</v>
      </c>
    </row>
    <row r="77" spans="1:5" x14ac:dyDescent="0.25">
      <c r="A77" s="79"/>
      <c r="B77" s="79"/>
      <c r="C77" s="79"/>
      <c r="D77" s="79"/>
      <c r="E77" s="79">
        <f>+E76</f>
        <v>5400</v>
      </c>
    </row>
  </sheetData>
  <pageMargins left="0.7" right="0.7" top="0.75" bottom="0.75" header="0.3" footer="0.3"/>
  <pageSetup scale="6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81"/>
  <sheetViews>
    <sheetView topLeftCell="A8" workbookViewId="0">
      <selection activeCell="A8" sqref="A8"/>
    </sheetView>
  </sheetViews>
  <sheetFormatPr defaultColWidth="9.140625" defaultRowHeight="15" x14ac:dyDescent="0.25"/>
  <cols>
    <col min="1" max="1" width="29.28515625" style="13" customWidth="1"/>
    <col min="2" max="2" width="12.7109375" style="13" bestFit="1" customWidth="1"/>
    <col min="3" max="3" width="11.7109375" style="13" bestFit="1" customWidth="1"/>
    <col min="4" max="4" width="20.7109375" style="13" bestFit="1" customWidth="1"/>
    <col min="5" max="7" width="11.7109375" style="13" bestFit="1" customWidth="1"/>
    <col min="8" max="8" width="12.42578125" style="13" bestFit="1" customWidth="1"/>
    <col min="9" max="23" width="11.7109375" style="13" bestFit="1" customWidth="1"/>
    <col min="24" max="16384" width="9.140625" style="13"/>
  </cols>
  <sheetData>
    <row r="1" spans="1:26" ht="21" x14ac:dyDescent="0.35">
      <c r="A1" s="86" t="s">
        <v>80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</row>
    <row r="3" spans="1:26" x14ac:dyDescent="0.25">
      <c r="A3" s="13" t="s">
        <v>81</v>
      </c>
      <c r="B3" s="13">
        <f>+DATOS!D7</f>
        <v>143616</v>
      </c>
    </row>
    <row r="4" spans="1:26" x14ac:dyDescent="0.25">
      <c r="A4" s="13" t="s">
        <v>82</v>
      </c>
      <c r="B4" s="13">
        <f>+B3*12</f>
        <v>1723392</v>
      </c>
    </row>
    <row r="5" spans="1:26" x14ac:dyDescent="0.25">
      <c r="A5" s="13" t="s">
        <v>77</v>
      </c>
      <c r="B5" s="29">
        <f>+DATOS!D21</f>
        <v>0.4</v>
      </c>
    </row>
    <row r="6" spans="1:26" ht="15.75" thickBot="1" x14ac:dyDescent="0.3"/>
    <row r="7" spans="1:26" x14ac:dyDescent="0.25">
      <c r="A7" s="16" t="s">
        <v>45</v>
      </c>
      <c r="B7" s="82" t="s">
        <v>52</v>
      </c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4"/>
    </row>
    <row r="8" spans="1:26" x14ac:dyDescent="0.25">
      <c r="A8" s="9" t="s">
        <v>12</v>
      </c>
      <c r="B8" s="26">
        <v>0</v>
      </c>
      <c r="C8" s="26">
        <v>1</v>
      </c>
      <c r="D8" s="26">
        <v>2</v>
      </c>
      <c r="E8" s="26">
        <v>3</v>
      </c>
      <c r="F8" s="26">
        <v>4</v>
      </c>
      <c r="G8" s="26">
        <v>5</v>
      </c>
      <c r="H8" s="26">
        <v>6</v>
      </c>
      <c r="I8" s="26">
        <v>7</v>
      </c>
      <c r="J8" s="26">
        <v>8</v>
      </c>
      <c r="K8" s="26">
        <v>9</v>
      </c>
      <c r="L8" s="26">
        <v>10</v>
      </c>
      <c r="M8" s="26">
        <v>11</v>
      </c>
      <c r="N8" s="26">
        <v>12</v>
      </c>
      <c r="O8" s="26">
        <v>13</v>
      </c>
      <c r="P8" s="26">
        <v>14</v>
      </c>
      <c r="Q8" s="26">
        <v>15</v>
      </c>
      <c r="R8" s="26">
        <v>16</v>
      </c>
      <c r="S8" s="26">
        <v>17</v>
      </c>
      <c r="T8" s="26">
        <v>18</v>
      </c>
      <c r="U8" s="26">
        <v>19</v>
      </c>
      <c r="V8" s="26">
        <v>20</v>
      </c>
      <c r="W8" s="15"/>
      <c r="X8" s="15"/>
      <c r="Y8" s="15"/>
      <c r="Z8" s="15"/>
    </row>
    <row r="9" spans="1:26" x14ac:dyDescent="0.25">
      <c r="A9" s="9" t="s">
        <v>25</v>
      </c>
      <c r="B9" s="2">
        <f>-DATOS!B29</f>
        <v>-1045899</v>
      </c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15"/>
      <c r="X9" s="15"/>
      <c r="Y9" s="15"/>
      <c r="Z9" s="15"/>
    </row>
    <row r="10" spans="1:26" x14ac:dyDescent="0.25">
      <c r="A10" s="9" t="s">
        <v>118</v>
      </c>
      <c r="B10" s="2">
        <f>-DATOS!E72</f>
        <v>-14062.5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15"/>
      <c r="X10" s="15"/>
      <c r="Y10" s="15"/>
      <c r="Z10" s="15"/>
    </row>
    <row r="11" spans="1:26" x14ac:dyDescent="0.25">
      <c r="A11" s="9" t="s">
        <v>47</v>
      </c>
      <c r="B11" s="2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53">
        <f>0.2*DATOS!B28</f>
        <v>181179.80000000002</v>
      </c>
      <c r="W11" s="15"/>
      <c r="X11" s="15"/>
      <c r="Y11" s="15"/>
      <c r="Z11" s="15"/>
    </row>
    <row r="12" spans="1:26" x14ac:dyDescent="0.25">
      <c r="A12" s="9" t="s">
        <v>87</v>
      </c>
      <c r="B12" s="28"/>
      <c r="C12" s="28">
        <f>+DATOS!B15</f>
        <v>0.7</v>
      </c>
      <c r="D12" s="28">
        <f>+DATOS!B16</f>
        <v>0.75</v>
      </c>
      <c r="E12" s="28">
        <f>+DATOS!B17</f>
        <v>0.8</v>
      </c>
      <c r="F12" s="28">
        <f>+DATOS!B18</f>
        <v>0.9</v>
      </c>
      <c r="G12" s="28">
        <f>+DATOS!$B$19</f>
        <v>1</v>
      </c>
      <c r="H12" s="28">
        <f>+DATOS!$B$19</f>
        <v>1</v>
      </c>
      <c r="I12" s="28">
        <f>+DATOS!$B$19</f>
        <v>1</v>
      </c>
      <c r="J12" s="28">
        <f>+DATOS!$B$19</f>
        <v>1</v>
      </c>
      <c r="K12" s="28">
        <f>+DATOS!$B$19</f>
        <v>1</v>
      </c>
      <c r="L12" s="28">
        <f>+DATOS!$B$19</f>
        <v>1</v>
      </c>
      <c r="M12" s="28">
        <f>+DATOS!$B$19</f>
        <v>1</v>
      </c>
      <c r="N12" s="28">
        <f>+DATOS!$B$19</f>
        <v>1</v>
      </c>
      <c r="O12" s="28">
        <f>+DATOS!$B$19</f>
        <v>1</v>
      </c>
      <c r="P12" s="28">
        <f>+DATOS!$B$19</f>
        <v>1</v>
      </c>
      <c r="Q12" s="28">
        <f>+DATOS!$B$19</f>
        <v>1</v>
      </c>
      <c r="R12" s="28">
        <f>+DATOS!$B$19</f>
        <v>1</v>
      </c>
      <c r="S12" s="28">
        <f>+DATOS!$B$19</f>
        <v>1</v>
      </c>
      <c r="T12" s="28">
        <f>+DATOS!$B$19</f>
        <v>1</v>
      </c>
      <c r="U12" s="28">
        <f>+DATOS!$B$19</f>
        <v>1</v>
      </c>
      <c r="V12" s="28">
        <f>+DATOS!$B$19</f>
        <v>1</v>
      </c>
    </row>
    <row r="13" spans="1:26" x14ac:dyDescent="0.25">
      <c r="A13" s="9" t="s">
        <v>2</v>
      </c>
      <c r="B13" s="9"/>
      <c r="C13" s="9">
        <f>+$B$4*$B$5*C12</f>
        <v>482549.76000000001</v>
      </c>
      <c r="D13" s="9">
        <f t="shared" ref="D13:V13" si="0">+$B$4*$B$5*D12</f>
        <v>517017.60000000003</v>
      </c>
      <c r="E13" s="9">
        <f t="shared" si="0"/>
        <v>551485.44000000006</v>
      </c>
      <c r="F13" s="9">
        <f t="shared" si="0"/>
        <v>620421.12000000011</v>
      </c>
      <c r="G13" s="9">
        <f t="shared" si="0"/>
        <v>689356.80000000005</v>
      </c>
      <c r="H13" s="9">
        <f t="shared" si="0"/>
        <v>689356.80000000005</v>
      </c>
      <c r="I13" s="9">
        <f t="shared" si="0"/>
        <v>689356.80000000005</v>
      </c>
      <c r="J13" s="9">
        <f t="shared" si="0"/>
        <v>689356.80000000005</v>
      </c>
      <c r="K13" s="9">
        <f t="shared" si="0"/>
        <v>689356.80000000005</v>
      </c>
      <c r="L13" s="9">
        <f t="shared" si="0"/>
        <v>689356.80000000005</v>
      </c>
      <c r="M13" s="9">
        <f t="shared" si="0"/>
        <v>689356.80000000005</v>
      </c>
      <c r="N13" s="9">
        <f t="shared" si="0"/>
        <v>689356.80000000005</v>
      </c>
      <c r="O13" s="9">
        <f t="shared" si="0"/>
        <v>689356.80000000005</v>
      </c>
      <c r="P13" s="9">
        <f t="shared" si="0"/>
        <v>689356.80000000005</v>
      </c>
      <c r="Q13" s="9">
        <f t="shared" si="0"/>
        <v>689356.80000000005</v>
      </c>
      <c r="R13" s="9">
        <f t="shared" si="0"/>
        <v>689356.80000000005</v>
      </c>
      <c r="S13" s="9">
        <f t="shared" si="0"/>
        <v>689356.80000000005</v>
      </c>
      <c r="T13" s="9">
        <f t="shared" si="0"/>
        <v>689356.80000000005</v>
      </c>
      <c r="U13" s="9">
        <f t="shared" si="0"/>
        <v>689356.80000000005</v>
      </c>
      <c r="V13" s="9">
        <f t="shared" si="0"/>
        <v>689356.80000000005</v>
      </c>
    </row>
    <row r="14" spans="1:26" x14ac:dyDescent="0.25">
      <c r="A14" s="19" t="s">
        <v>13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6" ht="15.75" thickBot="1" x14ac:dyDescent="0.3">
      <c r="A15" s="34" t="str">
        <f>+DATOS!A39</f>
        <v>Costo de mantenimiento</v>
      </c>
      <c r="B15" s="34"/>
      <c r="C15" s="34">
        <f>+DATOS!$B$39*EVALUACION!$B$4*EVALUACION!C12</f>
        <v>60318.720000000001</v>
      </c>
      <c r="D15" s="34">
        <f>+DATOS!$B$39*EVALUACION!$B$4*EVALUACION!D12</f>
        <v>64627.200000000004</v>
      </c>
      <c r="E15" s="34">
        <f>+DATOS!$B$39*EVALUACION!$B$4*EVALUACION!E12</f>
        <v>68935.680000000008</v>
      </c>
      <c r="F15" s="34">
        <f>+DATOS!$B$39*EVALUACION!$B$4*EVALUACION!F12</f>
        <v>77552.640000000014</v>
      </c>
      <c r="G15" s="34">
        <f>+DATOS!$B$39*EVALUACION!$B$4*EVALUACION!G12</f>
        <v>86169.600000000006</v>
      </c>
      <c r="H15" s="34">
        <f>+DATOS!$B$39*EVALUACION!$B$4*EVALUACION!H12</f>
        <v>86169.600000000006</v>
      </c>
      <c r="I15" s="34">
        <f>+DATOS!$B$39*EVALUACION!$B$4*EVALUACION!I12</f>
        <v>86169.600000000006</v>
      </c>
      <c r="J15" s="34">
        <f>+DATOS!$B$39*EVALUACION!$B$4*EVALUACION!J12</f>
        <v>86169.600000000006</v>
      </c>
      <c r="K15" s="34">
        <f>+DATOS!$B$39*EVALUACION!$B$4*EVALUACION!K12</f>
        <v>86169.600000000006</v>
      </c>
      <c r="L15" s="34">
        <f>+DATOS!$B$39*EVALUACION!$B$4*EVALUACION!L12</f>
        <v>86169.600000000006</v>
      </c>
      <c r="M15" s="34">
        <f>+DATOS!$B$39*EVALUACION!$B$4*EVALUACION!M12</f>
        <v>86169.600000000006</v>
      </c>
      <c r="N15" s="34">
        <f>+DATOS!$B$39*EVALUACION!$B$4*EVALUACION!N12</f>
        <v>86169.600000000006</v>
      </c>
      <c r="O15" s="34">
        <f>+DATOS!$B$39*EVALUACION!$B$4*EVALUACION!O12</f>
        <v>86169.600000000006</v>
      </c>
      <c r="P15" s="34">
        <f>+DATOS!$B$39*EVALUACION!$B$4*EVALUACION!P12</f>
        <v>86169.600000000006</v>
      </c>
      <c r="Q15" s="34">
        <f>+DATOS!$B$39*EVALUACION!$B$4*EVALUACION!Q12</f>
        <v>86169.600000000006</v>
      </c>
      <c r="R15" s="34">
        <f>+DATOS!$B$39*EVALUACION!$B$4*EVALUACION!R12</f>
        <v>86169.600000000006</v>
      </c>
      <c r="S15" s="34">
        <f>+DATOS!$B$39*EVALUACION!$B$4*EVALUACION!S12</f>
        <v>86169.600000000006</v>
      </c>
      <c r="T15" s="34">
        <f>+DATOS!$B$39*EVALUACION!$B$4*EVALUACION!T12</f>
        <v>86169.600000000006</v>
      </c>
      <c r="U15" s="34">
        <f>+DATOS!$B$39*EVALUACION!$B$4*EVALUACION!U12</f>
        <v>86169.600000000006</v>
      </c>
      <c r="V15" s="34">
        <f>+DATOS!$B$39*EVALUACION!$B$4*EVALUACION!V12</f>
        <v>86169.600000000006</v>
      </c>
    </row>
    <row r="16" spans="1:26" s="14" customFormat="1" ht="15.75" thickBot="1" x14ac:dyDescent="0.3">
      <c r="A16" s="41" t="s">
        <v>14</v>
      </c>
      <c r="B16" s="42"/>
      <c r="C16" s="42">
        <f>+C13-C15</f>
        <v>422231.04000000004</v>
      </c>
      <c r="D16" s="42">
        <f t="shared" ref="D16:V16" si="1">+D13-D15</f>
        <v>452390.40000000002</v>
      </c>
      <c r="E16" s="42">
        <f t="shared" si="1"/>
        <v>482549.76000000007</v>
      </c>
      <c r="F16" s="42">
        <f t="shared" si="1"/>
        <v>542868.4800000001</v>
      </c>
      <c r="G16" s="42">
        <f t="shared" si="1"/>
        <v>603187.20000000007</v>
      </c>
      <c r="H16" s="42">
        <f t="shared" si="1"/>
        <v>603187.20000000007</v>
      </c>
      <c r="I16" s="42">
        <f t="shared" si="1"/>
        <v>603187.20000000007</v>
      </c>
      <c r="J16" s="42">
        <f t="shared" si="1"/>
        <v>603187.20000000007</v>
      </c>
      <c r="K16" s="42">
        <f t="shared" si="1"/>
        <v>603187.20000000007</v>
      </c>
      <c r="L16" s="42">
        <f t="shared" si="1"/>
        <v>603187.20000000007</v>
      </c>
      <c r="M16" s="42">
        <f t="shared" si="1"/>
        <v>603187.20000000007</v>
      </c>
      <c r="N16" s="42">
        <f t="shared" si="1"/>
        <v>603187.20000000007</v>
      </c>
      <c r="O16" s="42">
        <f t="shared" si="1"/>
        <v>603187.20000000007</v>
      </c>
      <c r="P16" s="42">
        <f t="shared" si="1"/>
        <v>603187.20000000007</v>
      </c>
      <c r="Q16" s="42">
        <f t="shared" si="1"/>
        <v>603187.20000000007</v>
      </c>
      <c r="R16" s="42">
        <f t="shared" si="1"/>
        <v>603187.20000000007</v>
      </c>
      <c r="S16" s="42">
        <f t="shared" si="1"/>
        <v>603187.20000000007</v>
      </c>
      <c r="T16" s="42">
        <f t="shared" si="1"/>
        <v>603187.20000000007</v>
      </c>
      <c r="U16" s="42">
        <f t="shared" si="1"/>
        <v>603187.20000000007</v>
      </c>
      <c r="V16" s="43">
        <f t="shared" si="1"/>
        <v>603187.20000000007</v>
      </c>
    </row>
    <row r="17" spans="1:23" x14ac:dyDescent="0.25">
      <c r="A17" s="35" t="str">
        <f>+DATOS!A40</f>
        <v>Gastos de operación</v>
      </c>
      <c r="B17" s="35"/>
      <c r="C17" s="35">
        <f>+DATOS!$B$40*EVALUACION!$B$4+D61</f>
        <v>211166.31</v>
      </c>
      <c r="D17" s="35">
        <f>+DATOS!$B$40*EVALUACION!$B$4+D62</f>
        <v>211166.31</v>
      </c>
      <c r="E17" s="35">
        <f>+DATOS!$B$40*EVALUACION!$B$4+D63</f>
        <v>211166.31</v>
      </c>
      <c r="F17" s="35">
        <f>+DATOS!$B$40*EVALUACION!$B$4+D64</f>
        <v>211166.31</v>
      </c>
      <c r="G17" s="35">
        <f>+DATOS!$B$40*EVALUACION!$B$4+D65</f>
        <v>211166.31</v>
      </c>
      <c r="H17" s="35">
        <f>+DATOS!$B$40*EVALUACION!$B$4+D66</f>
        <v>183166.31</v>
      </c>
      <c r="I17" s="35">
        <f>+DATOS!$B$40*EVALUACION!$B$4+D67</f>
        <v>183166.31</v>
      </c>
      <c r="J17" s="35">
        <f>+DATOS!$B$40*EVALUACION!$B$4+D68</f>
        <v>183166.31</v>
      </c>
      <c r="K17" s="35">
        <f>+DATOS!$B$40*EVALUACION!$B$4+D69</f>
        <v>183166.31</v>
      </c>
      <c r="L17" s="35">
        <f>+DATOS!$B$40*EVALUACION!$B$4+D70</f>
        <v>183166.31</v>
      </c>
      <c r="M17" s="35">
        <f>+DATOS!$B$40*EVALUACION!$B$4+D71</f>
        <v>183166.31</v>
      </c>
      <c r="N17" s="35">
        <f>+DATOS!$B$40*EVALUACION!$B$4+D72</f>
        <v>183166.31</v>
      </c>
      <c r="O17" s="35">
        <f>+DATOS!$B$40*EVALUACION!$B$4+D73</f>
        <v>183166.31</v>
      </c>
      <c r="P17" s="35">
        <f>+DATOS!$B$40*EVALUACION!$B$4+D74</f>
        <v>183166.31</v>
      </c>
      <c r="Q17" s="35">
        <f>+DATOS!$B$40*EVALUACION!$B$4+D75</f>
        <v>183166.31</v>
      </c>
      <c r="R17" s="35">
        <f>+DATOS!$B$40*EVALUACION!$B$4+D76</f>
        <v>183166.31</v>
      </c>
      <c r="S17" s="35">
        <f>+DATOS!$B$40*EVALUACION!$B$4+D77</f>
        <v>183166.31</v>
      </c>
      <c r="T17" s="35">
        <f>+DATOS!$B$40*EVALUACION!$B$4+D78</f>
        <v>183166.31</v>
      </c>
      <c r="U17" s="35">
        <f>+DATOS!$B$40*EVALUACION!$B$4+D79</f>
        <v>183166.31</v>
      </c>
      <c r="V17" s="35">
        <f>+DATOS!$B$40*EVALUACION!$B$4+D80</f>
        <v>183166.31</v>
      </c>
    </row>
    <row r="18" spans="1:23" ht="15.75" thickBot="1" x14ac:dyDescent="0.3">
      <c r="A18" s="34" t="str">
        <f>+DATOS!A41</f>
        <v>costo de administración</v>
      </c>
      <c r="B18" s="34"/>
      <c r="C18" s="34">
        <f>+$B$4*DATOS!$B$41*EVALUACION!C12</f>
        <v>96509.952000000005</v>
      </c>
      <c r="D18" s="34">
        <f>+$B$4*DATOS!$B$41*EVALUACION!D12</f>
        <v>103403.52000000002</v>
      </c>
      <c r="E18" s="34">
        <f>+$B$4*DATOS!$B$41*EVALUACION!E12</f>
        <v>110297.08800000002</v>
      </c>
      <c r="F18" s="34">
        <f>+$B$4*DATOS!$B$41*EVALUACION!F12</f>
        <v>124084.22400000002</v>
      </c>
      <c r="G18" s="34">
        <f>+$B$4*DATOS!$B$41*EVALUACION!G12</f>
        <v>137871.36000000002</v>
      </c>
      <c r="H18" s="34">
        <f>+$B$4*DATOS!$B$41*EVALUACION!H12</f>
        <v>137871.36000000002</v>
      </c>
      <c r="I18" s="34">
        <f>+$B$4*DATOS!$B$41*EVALUACION!I12</f>
        <v>137871.36000000002</v>
      </c>
      <c r="J18" s="34">
        <f>+$B$4*DATOS!$B$41*EVALUACION!J12</f>
        <v>137871.36000000002</v>
      </c>
      <c r="K18" s="34">
        <f>+$B$4*DATOS!$B$41*EVALUACION!K12</f>
        <v>137871.36000000002</v>
      </c>
      <c r="L18" s="34">
        <f>+$B$4*DATOS!$B$41*EVALUACION!L12</f>
        <v>137871.36000000002</v>
      </c>
      <c r="M18" s="34">
        <f>+$B$4*DATOS!$B$41*EVALUACION!M12</f>
        <v>137871.36000000002</v>
      </c>
      <c r="N18" s="34">
        <f>+$B$4*DATOS!$B$41*EVALUACION!N12</f>
        <v>137871.36000000002</v>
      </c>
      <c r="O18" s="34">
        <f>+$B$4*DATOS!$B$41*EVALUACION!O12</f>
        <v>137871.36000000002</v>
      </c>
      <c r="P18" s="34">
        <f>+$B$4*DATOS!$B$41*EVALUACION!P12</f>
        <v>137871.36000000002</v>
      </c>
      <c r="Q18" s="34">
        <f>+$B$4*DATOS!$B$41*EVALUACION!Q12</f>
        <v>137871.36000000002</v>
      </c>
      <c r="R18" s="34">
        <f>+$B$4*DATOS!$B$41*EVALUACION!R12</f>
        <v>137871.36000000002</v>
      </c>
      <c r="S18" s="34">
        <f>+$B$4*DATOS!$B$41*EVALUACION!S12</f>
        <v>137871.36000000002</v>
      </c>
      <c r="T18" s="34">
        <f>+$B$4*DATOS!$B$41*EVALUACION!T12</f>
        <v>137871.36000000002</v>
      </c>
      <c r="U18" s="34">
        <f>+$B$4*DATOS!$B$41*EVALUACION!U12</f>
        <v>137871.36000000002</v>
      </c>
      <c r="V18" s="34">
        <f>+$B$4*DATOS!$B$41*EVALUACION!V12</f>
        <v>137871.36000000002</v>
      </c>
    </row>
    <row r="19" spans="1:23" s="14" customFormat="1" ht="15.75" thickBot="1" x14ac:dyDescent="0.3">
      <c r="A19" s="41" t="s">
        <v>15</v>
      </c>
      <c r="B19" s="42"/>
      <c r="C19" s="42">
        <f>+C16-C17-C18</f>
        <v>114554.77800000003</v>
      </c>
      <c r="D19" s="42">
        <f t="shared" ref="D19:V19" si="2">+D16-D17-D18</f>
        <v>137820.57</v>
      </c>
      <c r="E19" s="42">
        <f t="shared" si="2"/>
        <v>161086.36200000005</v>
      </c>
      <c r="F19" s="42">
        <f t="shared" si="2"/>
        <v>207617.94600000008</v>
      </c>
      <c r="G19" s="42">
        <f t="shared" si="2"/>
        <v>254149.53000000006</v>
      </c>
      <c r="H19" s="42">
        <f t="shared" si="2"/>
        <v>282149.53000000003</v>
      </c>
      <c r="I19" s="42">
        <f t="shared" si="2"/>
        <v>282149.53000000003</v>
      </c>
      <c r="J19" s="42">
        <f t="shared" si="2"/>
        <v>282149.53000000003</v>
      </c>
      <c r="K19" s="42">
        <f t="shared" si="2"/>
        <v>282149.53000000003</v>
      </c>
      <c r="L19" s="42">
        <f t="shared" si="2"/>
        <v>282149.53000000003</v>
      </c>
      <c r="M19" s="42">
        <f t="shared" si="2"/>
        <v>282149.53000000003</v>
      </c>
      <c r="N19" s="42">
        <f t="shared" si="2"/>
        <v>282149.53000000003</v>
      </c>
      <c r="O19" s="42">
        <f t="shared" si="2"/>
        <v>282149.53000000003</v>
      </c>
      <c r="P19" s="42">
        <f t="shared" si="2"/>
        <v>282149.53000000003</v>
      </c>
      <c r="Q19" s="42">
        <f t="shared" si="2"/>
        <v>282149.53000000003</v>
      </c>
      <c r="R19" s="42">
        <f t="shared" si="2"/>
        <v>282149.53000000003</v>
      </c>
      <c r="S19" s="42">
        <f t="shared" si="2"/>
        <v>282149.53000000003</v>
      </c>
      <c r="T19" s="42">
        <f t="shared" si="2"/>
        <v>282149.53000000003</v>
      </c>
      <c r="U19" s="42">
        <f t="shared" si="2"/>
        <v>282149.53000000003</v>
      </c>
      <c r="V19" s="43">
        <f t="shared" si="2"/>
        <v>282149.53000000003</v>
      </c>
    </row>
    <row r="20" spans="1:23" ht="15.75" thickBot="1" x14ac:dyDescent="0.3">
      <c r="A20" s="39" t="s">
        <v>119</v>
      </c>
      <c r="B20" s="39"/>
      <c r="C20" s="39">
        <f>+DATOS!$E$77*EVALUACION!C12</f>
        <v>3779.9999999999995</v>
      </c>
      <c r="D20" s="39">
        <f>+DATOS!$E$77*EVALUACION!D12</f>
        <v>4050</v>
      </c>
      <c r="E20" s="39">
        <f>+DATOS!$E$77*EVALUACION!E12</f>
        <v>4320</v>
      </c>
      <c r="F20" s="39">
        <f>+DATOS!$E$77*EVALUACION!F12</f>
        <v>4860</v>
      </c>
      <c r="G20" s="39">
        <f>+DATOS!$E$77*EVALUACION!G12</f>
        <v>5400</v>
      </c>
      <c r="H20" s="39">
        <f>+DATOS!$E$77*EVALUACION!H12</f>
        <v>5400</v>
      </c>
      <c r="I20" s="39">
        <f>+DATOS!$E$77*EVALUACION!I12</f>
        <v>5400</v>
      </c>
      <c r="J20" s="39">
        <f>+DATOS!$E$77*EVALUACION!J12</f>
        <v>5400</v>
      </c>
      <c r="K20" s="39">
        <f>+DATOS!$E$77*EVALUACION!K12</f>
        <v>5400</v>
      </c>
      <c r="L20" s="39">
        <f>+DATOS!$E$77*EVALUACION!L12</f>
        <v>5400</v>
      </c>
      <c r="M20" s="39">
        <f>+DATOS!$E$77*EVALUACION!M12</f>
        <v>5400</v>
      </c>
      <c r="N20" s="39">
        <f>+DATOS!$E$77*EVALUACION!N12</f>
        <v>5400</v>
      </c>
      <c r="O20" s="39">
        <f>+DATOS!$E$77*EVALUACION!O12</f>
        <v>5400</v>
      </c>
      <c r="P20" s="39">
        <f>+DATOS!$E$77*EVALUACION!P12</f>
        <v>5400</v>
      </c>
      <c r="Q20" s="39">
        <f>+DATOS!$E$77*EVALUACION!Q12</f>
        <v>5400</v>
      </c>
      <c r="R20" s="39">
        <f>+DATOS!$E$77*EVALUACION!R12</f>
        <v>5400</v>
      </c>
      <c r="S20" s="39">
        <f>+DATOS!$E$77*EVALUACION!S12</f>
        <v>5400</v>
      </c>
      <c r="T20" s="39">
        <f>+DATOS!$E$77*EVALUACION!T12</f>
        <v>5400</v>
      </c>
      <c r="U20" s="39">
        <f>+DATOS!$E$77*EVALUACION!U12</f>
        <v>5400</v>
      </c>
      <c r="V20" s="39">
        <f>+DATOS!$E$77*EVALUACION!V12</f>
        <v>5400</v>
      </c>
    </row>
    <row r="21" spans="1:23" s="14" customFormat="1" ht="15.75" thickBot="1" x14ac:dyDescent="0.3">
      <c r="A21" s="41" t="s">
        <v>17</v>
      </c>
      <c r="B21" s="42"/>
      <c r="C21" s="42">
        <f>+C19+C20</f>
        <v>118334.77800000003</v>
      </c>
      <c r="D21" s="42">
        <f t="shared" ref="D21:V21" si="3">+D19+D20</f>
        <v>141870.57</v>
      </c>
      <c r="E21" s="42">
        <f t="shared" si="3"/>
        <v>165406.36200000005</v>
      </c>
      <c r="F21" s="42">
        <f t="shared" si="3"/>
        <v>212477.94600000008</v>
      </c>
      <c r="G21" s="42">
        <f t="shared" si="3"/>
        <v>259549.53000000006</v>
      </c>
      <c r="H21" s="42">
        <f t="shared" si="3"/>
        <v>287549.53000000003</v>
      </c>
      <c r="I21" s="42">
        <f t="shared" si="3"/>
        <v>287549.53000000003</v>
      </c>
      <c r="J21" s="42">
        <f t="shared" si="3"/>
        <v>287549.53000000003</v>
      </c>
      <c r="K21" s="42">
        <f t="shared" si="3"/>
        <v>287549.53000000003</v>
      </c>
      <c r="L21" s="42">
        <f t="shared" si="3"/>
        <v>287549.53000000003</v>
      </c>
      <c r="M21" s="42">
        <f t="shared" si="3"/>
        <v>287549.53000000003</v>
      </c>
      <c r="N21" s="42">
        <f t="shared" si="3"/>
        <v>287549.53000000003</v>
      </c>
      <c r="O21" s="42">
        <f t="shared" si="3"/>
        <v>287549.53000000003</v>
      </c>
      <c r="P21" s="42">
        <f t="shared" si="3"/>
        <v>287549.53000000003</v>
      </c>
      <c r="Q21" s="42">
        <f t="shared" si="3"/>
        <v>287549.53000000003</v>
      </c>
      <c r="R21" s="42">
        <f t="shared" si="3"/>
        <v>287549.53000000003</v>
      </c>
      <c r="S21" s="42">
        <f t="shared" si="3"/>
        <v>287549.53000000003</v>
      </c>
      <c r="T21" s="42">
        <f t="shared" si="3"/>
        <v>287549.53000000003</v>
      </c>
      <c r="U21" s="42">
        <f t="shared" si="3"/>
        <v>287549.53000000003</v>
      </c>
      <c r="V21" s="43">
        <f t="shared" si="3"/>
        <v>287549.53000000003</v>
      </c>
    </row>
    <row r="22" spans="1:23" ht="15.75" thickBot="1" x14ac:dyDescent="0.3">
      <c r="A22" s="40" t="s">
        <v>23</v>
      </c>
      <c r="B22" s="39"/>
      <c r="C22" s="39">
        <f>+D39</f>
        <v>74197.305000000008</v>
      </c>
      <c r="D22" s="39">
        <f>+D40</f>
        <v>70727.593046692884</v>
      </c>
      <c r="E22" s="39">
        <f>+D41</f>
        <v>66910.909898055048</v>
      </c>
      <c r="F22" s="39">
        <f>+D42</f>
        <v>62712.558434553423</v>
      </c>
      <c r="G22" s="39">
        <f>+D43</f>
        <v>58094.371824701644</v>
      </c>
      <c r="H22" s="39">
        <f>+D44</f>
        <v>53014.366553864689</v>
      </c>
      <c r="I22" s="39">
        <f>+D45</f>
        <v>47426.360755944035</v>
      </c>
      <c r="J22" s="39">
        <f>+D46</f>
        <v>41279.554378231311</v>
      </c>
      <c r="K22" s="39">
        <f>+D47</f>
        <v>34518.067362747315</v>
      </c>
      <c r="L22" s="39">
        <f>+D48</f>
        <v>27080.431645714918</v>
      </c>
      <c r="M22" s="39">
        <f>+D49</f>
        <v>18899.032356979282</v>
      </c>
      <c r="N22" s="39">
        <f>+D50</f>
        <v>9899.4931393700845</v>
      </c>
      <c r="O22" s="39"/>
      <c r="P22" s="39"/>
      <c r="Q22" s="39"/>
      <c r="R22" s="39"/>
      <c r="S22" s="39"/>
      <c r="T22" s="39"/>
      <c r="U22" s="39"/>
      <c r="V22" s="39"/>
    </row>
    <row r="23" spans="1:23" s="14" customFormat="1" ht="15.75" thickBot="1" x14ac:dyDescent="0.3">
      <c r="A23" s="36" t="s">
        <v>24</v>
      </c>
      <c r="B23" s="37"/>
      <c r="C23" s="37">
        <f>+C21-C22</f>
        <v>44137.473000000027</v>
      </c>
      <c r="D23" s="37">
        <f t="shared" ref="D23:V23" si="4">+D21-D22</f>
        <v>71142.976953307123</v>
      </c>
      <c r="E23" s="37">
        <f t="shared" si="4"/>
        <v>98495.452101945004</v>
      </c>
      <c r="F23" s="37">
        <f t="shared" si="4"/>
        <v>149765.38756544667</v>
      </c>
      <c r="G23" s="37">
        <f t="shared" si="4"/>
        <v>201455.15817529842</v>
      </c>
      <c r="H23" s="37">
        <f t="shared" si="4"/>
        <v>234535.16344613535</v>
      </c>
      <c r="I23" s="37">
        <f t="shared" si="4"/>
        <v>240123.16924405599</v>
      </c>
      <c r="J23" s="37">
        <f t="shared" si="4"/>
        <v>246269.97562176871</v>
      </c>
      <c r="K23" s="37">
        <f t="shared" si="4"/>
        <v>253031.4626372527</v>
      </c>
      <c r="L23" s="37">
        <f t="shared" si="4"/>
        <v>260469.09835428512</v>
      </c>
      <c r="M23" s="37">
        <f t="shared" si="4"/>
        <v>268650.49764302076</v>
      </c>
      <c r="N23" s="37">
        <f t="shared" si="4"/>
        <v>277650.03686062992</v>
      </c>
      <c r="O23" s="37">
        <f t="shared" si="4"/>
        <v>287549.53000000003</v>
      </c>
      <c r="P23" s="37">
        <f t="shared" si="4"/>
        <v>287549.53000000003</v>
      </c>
      <c r="Q23" s="37">
        <f t="shared" si="4"/>
        <v>287549.53000000003</v>
      </c>
      <c r="R23" s="37">
        <f t="shared" si="4"/>
        <v>287549.53000000003</v>
      </c>
      <c r="S23" s="37">
        <f t="shared" si="4"/>
        <v>287549.53000000003</v>
      </c>
      <c r="T23" s="37">
        <f t="shared" si="4"/>
        <v>287549.53000000003</v>
      </c>
      <c r="U23" s="37">
        <f t="shared" si="4"/>
        <v>287549.53000000003</v>
      </c>
      <c r="V23" s="38">
        <f t="shared" si="4"/>
        <v>287549.53000000003</v>
      </c>
    </row>
    <row r="24" spans="1:23" x14ac:dyDescent="0.25">
      <c r="A24" s="35" t="s">
        <v>18</v>
      </c>
      <c r="B24" s="35"/>
      <c r="C24" s="35">
        <f>+IF(C23&lt;=0,0,C23*DATOS!$C$43)</f>
        <v>13241.241900000008</v>
      </c>
      <c r="D24" s="35">
        <f>+IF(D23&lt;=0,0,D23*DATOS!$C$43)</f>
        <v>21342.893085992135</v>
      </c>
      <c r="E24" s="35">
        <f>+IF(E23&lt;=0,0,E23*DATOS!$C$43)</f>
        <v>29548.6356305835</v>
      </c>
      <c r="F24" s="35">
        <f>+IF(F23&lt;=0,0,F23*DATOS!$C$43)</f>
        <v>44929.616269633996</v>
      </c>
      <c r="G24" s="35">
        <f>+IF(G23&lt;=0,0,G23*DATOS!$C$43)</f>
        <v>60436.547452589526</v>
      </c>
      <c r="H24" s="35">
        <f>+IF(H23&lt;=0,0,H23*DATOS!$C$43)</f>
        <v>70360.549033840609</v>
      </c>
      <c r="I24" s="35">
        <f>+IF(I23&lt;=0,0,I23*DATOS!$C$43)</f>
        <v>72036.950773216799</v>
      </c>
      <c r="J24" s="35">
        <f>+IF(J23&lt;=0,0,J23*DATOS!$C$43)</f>
        <v>73880.992686530604</v>
      </c>
      <c r="K24" s="35">
        <f>+IF(K23&lt;=0,0,K23*DATOS!$C$43)</f>
        <v>75909.438791175809</v>
      </c>
      <c r="L24" s="35">
        <f>+IF(L23&lt;=0,0,L23*DATOS!$C$43)</f>
        <v>78140.729506285526</v>
      </c>
      <c r="M24" s="35">
        <f>+IF(M23&lt;=0,0,M23*DATOS!$C$43)</f>
        <v>80595.149292906222</v>
      </c>
      <c r="N24" s="35">
        <f>+IF(N23&lt;=0,0,N23*DATOS!$C$43)</f>
        <v>83295.011058188975</v>
      </c>
      <c r="O24" s="35">
        <f>+IF(O23&lt;=0,0,O23*DATOS!$C$43)</f>
        <v>86264.859000000011</v>
      </c>
      <c r="P24" s="35">
        <f>+IF(P23&lt;=0,0,P23*DATOS!$C$43)</f>
        <v>86264.859000000011</v>
      </c>
      <c r="Q24" s="35">
        <f>+IF(Q23&lt;=0,0,Q23*DATOS!$C$43)</f>
        <v>86264.859000000011</v>
      </c>
      <c r="R24" s="35">
        <f>+IF(R23&lt;=0,0,R23*DATOS!$C$43)</f>
        <v>86264.859000000011</v>
      </c>
      <c r="S24" s="35">
        <f>+IF(S23&lt;=0,0,S23*DATOS!$C$43)</f>
        <v>86264.859000000011</v>
      </c>
      <c r="T24" s="35">
        <f>+IF(T23&lt;=0,0,T23*DATOS!$C$43)</f>
        <v>86264.859000000011</v>
      </c>
      <c r="U24" s="35">
        <f>+IF(U23&lt;=0,0,U23*DATOS!$C$43)</f>
        <v>86264.859000000011</v>
      </c>
      <c r="V24" s="35">
        <f>+IF(V23&lt;=0,0,V23*DATOS!$C$43)</f>
        <v>86264.859000000011</v>
      </c>
    </row>
    <row r="25" spans="1:23" s="14" customFormat="1" x14ac:dyDescent="0.25">
      <c r="A25" s="44" t="s">
        <v>19</v>
      </c>
      <c r="B25" s="44"/>
      <c r="C25" s="44">
        <f>+C23-C24</f>
        <v>30896.231100000019</v>
      </c>
      <c r="D25" s="44">
        <f t="shared" ref="D25:V25" si="5">+D23-D24</f>
        <v>49800.083867314985</v>
      </c>
      <c r="E25" s="44">
        <f t="shared" si="5"/>
        <v>68946.816471361497</v>
      </c>
      <c r="F25" s="44">
        <f t="shared" si="5"/>
        <v>104835.77129581268</v>
      </c>
      <c r="G25" s="44">
        <f t="shared" si="5"/>
        <v>141018.61072270889</v>
      </c>
      <c r="H25" s="44">
        <f t="shared" si="5"/>
        <v>164174.61441229476</v>
      </c>
      <c r="I25" s="44">
        <f t="shared" si="5"/>
        <v>168086.2184708392</v>
      </c>
      <c r="J25" s="44">
        <f t="shared" si="5"/>
        <v>172388.98293523811</v>
      </c>
      <c r="K25" s="44">
        <f t="shared" si="5"/>
        <v>177122.02384607689</v>
      </c>
      <c r="L25" s="44">
        <f t="shared" si="5"/>
        <v>182328.36884799961</v>
      </c>
      <c r="M25" s="44">
        <f t="shared" si="5"/>
        <v>188055.34835011454</v>
      </c>
      <c r="N25" s="44">
        <f t="shared" si="5"/>
        <v>194355.02580244094</v>
      </c>
      <c r="O25" s="44">
        <f t="shared" si="5"/>
        <v>201284.67100000003</v>
      </c>
      <c r="P25" s="44">
        <f t="shared" si="5"/>
        <v>201284.67100000003</v>
      </c>
      <c r="Q25" s="44">
        <f t="shared" si="5"/>
        <v>201284.67100000003</v>
      </c>
      <c r="R25" s="44">
        <f t="shared" si="5"/>
        <v>201284.67100000003</v>
      </c>
      <c r="S25" s="44">
        <f t="shared" si="5"/>
        <v>201284.67100000003</v>
      </c>
      <c r="T25" s="44">
        <f t="shared" si="5"/>
        <v>201284.67100000003</v>
      </c>
      <c r="U25" s="44">
        <f t="shared" si="5"/>
        <v>201284.67100000003</v>
      </c>
      <c r="V25" s="44">
        <f t="shared" si="5"/>
        <v>201284.67100000003</v>
      </c>
    </row>
    <row r="26" spans="1:23" x14ac:dyDescent="0.25">
      <c r="A26" s="9" t="s">
        <v>20</v>
      </c>
      <c r="B26" s="9"/>
      <c r="C26" s="9">
        <f>+D61</f>
        <v>73294.95</v>
      </c>
      <c r="D26" s="9">
        <f>+D62</f>
        <v>73294.95</v>
      </c>
      <c r="E26" s="9">
        <f>+D63</f>
        <v>73294.95</v>
      </c>
      <c r="F26" s="9">
        <f>+D64</f>
        <v>73294.95</v>
      </c>
      <c r="G26" s="9">
        <f>+D65</f>
        <v>73294.95</v>
      </c>
      <c r="H26" s="9">
        <f>+D66</f>
        <v>45294.95</v>
      </c>
      <c r="I26" s="9">
        <f>+D67</f>
        <v>45294.95</v>
      </c>
      <c r="J26" s="9">
        <f>+D68</f>
        <v>45294.95</v>
      </c>
      <c r="K26" s="9">
        <f>+D69</f>
        <v>45294.95</v>
      </c>
      <c r="L26" s="9">
        <f>+D70</f>
        <v>45294.95</v>
      </c>
      <c r="M26" s="9">
        <f>+D71</f>
        <v>45294.95</v>
      </c>
      <c r="N26" s="9">
        <f>+D72</f>
        <v>45294.95</v>
      </c>
      <c r="O26" s="9">
        <f>+D73</f>
        <v>45294.95</v>
      </c>
      <c r="P26" s="9">
        <f>+D74</f>
        <v>45294.95</v>
      </c>
      <c r="Q26" s="9">
        <f>+D75</f>
        <v>45294.95</v>
      </c>
      <c r="R26" s="9">
        <f>+D76</f>
        <v>45294.95</v>
      </c>
      <c r="S26" s="9">
        <f>+D77</f>
        <v>45294.95</v>
      </c>
      <c r="T26" s="9">
        <f>+D78</f>
        <v>45294.95</v>
      </c>
      <c r="U26" s="9">
        <f>+D79</f>
        <v>45294.95</v>
      </c>
      <c r="V26" s="9">
        <f>+D80</f>
        <v>45294.95</v>
      </c>
    </row>
    <row r="27" spans="1:23" x14ac:dyDescent="0.25">
      <c r="A27" s="9" t="s">
        <v>21</v>
      </c>
      <c r="B27" s="9"/>
      <c r="C27" s="9">
        <f>+F39</f>
        <v>34697.119533071294</v>
      </c>
      <c r="D27" s="9">
        <f>+F40</f>
        <v>38166.831486378331</v>
      </c>
      <c r="E27" s="9">
        <f>+F41</f>
        <v>41983.51463501621</v>
      </c>
      <c r="F27" s="9">
        <f>+F42</f>
        <v>46181.866098517785</v>
      </c>
      <c r="G27" s="9">
        <f>+F43</f>
        <v>50800.052708369563</v>
      </c>
      <c r="H27" s="9">
        <f>+F44</f>
        <v>55880.057979206555</v>
      </c>
      <c r="I27" s="9">
        <f>+F45</f>
        <v>61468.063777127245</v>
      </c>
      <c r="J27" s="9">
        <f>+F46</f>
        <v>67614.87015483994</v>
      </c>
      <c r="K27" s="9">
        <f>+F47</f>
        <v>74376.357170323958</v>
      </c>
      <c r="L27" s="9">
        <f>+F48</f>
        <v>81813.992887356348</v>
      </c>
      <c r="M27" s="9">
        <f>+F49</f>
        <v>89995.392176091977</v>
      </c>
      <c r="N27" s="9">
        <f>+F50</f>
        <v>98994.931393701176</v>
      </c>
      <c r="O27" s="9"/>
      <c r="P27" s="9"/>
      <c r="Q27" s="9"/>
      <c r="R27" s="9"/>
      <c r="S27" s="9"/>
      <c r="T27" s="9"/>
      <c r="U27" s="9"/>
      <c r="V27" s="9"/>
    </row>
    <row r="28" spans="1:23" s="14" customFormat="1" x14ac:dyDescent="0.25">
      <c r="A28" s="19" t="s">
        <v>22</v>
      </c>
      <c r="B28" s="19">
        <f>+B10+B9</f>
        <v>-1059961.5</v>
      </c>
      <c r="C28" s="19">
        <f>+C25+C26-C27</f>
        <v>69494.061566928722</v>
      </c>
      <c r="D28" s="19">
        <f t="shared" ref="D28:U28" si="6">+D25+D26-D27</f>
        <v>84928.202380936651</v>
      </c>
      <c r="E28" s="19">
        <f t="shared" si="6"/>
        <v>100258.2518363453</v>
      </c>
      <c r="F28" s="19">
        <f t="shared" si="6"/>
        <v>131948.85519729491</v>
      </c>
      <c r="G28" s="19">
        <f t="shared" si="6"/>
        <v>163513.50801433931</v>
      </c>
      <c r="H28" s="19">
        <f t="shared" si="6"/>
        <v>153589.50643308822</v>
      </c>
      <c r="I28" s="19">
        <f t="shared" si="6"/>
        <v>151913.10469371197</v>
      </c>
      <c r="J28" s="19">
        <f t="shared" si="6"/>
        <v>150069.06278039818</v>
      </c>
      <c r="K28" s="19">
        <f t="shared" si="6"/>
        <v>148040.61667575291</v>
      </c>
      <c r="L28" s="19">
        <f t="shared" si="6"/>
        <v>145809.32596064327</v>
      </c>
      <c r="M28" s="19">
        <f t="shared" si="6"/>
        <v>143354.90617402259</v>
      </c>
      <c r="N28" s="19">
        <f t="shared" si="6"/>
        <v>140655.04440873978</v>
      </c>
      <c r="O28" s="19">
        <f t="shared" si="6"/>
        <v>246579.62100000004</v>
      </c>
      <c r="P28" s="19">
        <f t="shared" si="6"/>
        <v>246579.62100000004</v>
      </c>
      <c r="Q28" s="19">
        <f t="shared" si="6"/>
        <v>246579.62100000004</v>
      </c>
      <c r="R28" s="19">
        <f t="shared" si="6"/>
        <v>246579.62100000004</v>
      </c>
      <c r="S28" s="19">
        <f t="shared" si="6"/>
        <v>246579.62100000004</v>
      </c>
      <c r="T28" s="19">
        <f t="shared" si="6"/>
        <v>246579.62100000004</v>
      </c>
      <c r="U28" s="19">
        <f t="shared" si="6"/>
        <v>246579.62100000004</v>
      </c>
      <c r="V28" s="19">
        <f>+V25+V26-V27+V11</f>
        <v>427759.42100000009</v>
      </c>
      <c r="W28" s="14">
        <f>SUM(B28:V28)</f>
        <v>2677429.7141222022</v>
      </c>
    </row>
    <row r="30" spans="1:23" x14ac:dyDescent="0.25">
      <c r="A30" s="31" t="s">
        <v>49</v>
      </c>
      <c r="B30" s="30">
        <f>NPV(B31,C28:V28)+B28</f>
        <v>35765.909730584593</v>
      </c>
      <c r="D30" s="14" t="s">
        <v>50</v>
      </c>
      <c r="F30" s="32">
        <f>IRR(B28:V28)</f>
        <v>0.1241650463431383</v>
      </c>
    </row>
    <row r="31" spans="1:23" x14ac:dyDescent="0.25">
      <c r="A31" s="46" t="s">
        <v>53</v>
      </c>
      <c r="B31" s="12">
        <v>0.12</v>
      </c>
    </row>
    <row r="32" spans="1:23" x14ac:dyDescent="0.25">
      <c r="A32" s="46"/>
      <c r="B32" s="12"/>
      <c r="H32" s="13">
        <f>+B28+NPV(B31,C28:V28)</f>
        <v>35765.909730584593</v>
      </c>
    </row>
    <row r="33" spans="1:6" x14ac:dyDescent="0.25">
      <c r="A33" s="85" t="s">
        <v>33</v>
      </c>
      <c r="B33" s="85"/>
      <c r="C33" s="85"/>
      <c r="D33" s="85"/>
      <c r="E33" s="85"/>
    </row>
    <row r="34" spans="1:6" x14ac:dyDescent="0.25">
      <c r="A34" s="13" t="s">
        <v>1</v>
      </c>
      <c r="B34" s="13">
        <f>+DATOS!B29+DATOS!E72</f>
        <v>1059961.5</v>
      </c>
    </row>
    <row r="35" spans="1:6" x14ac:dyDescent="0.25">
      <c r="A35" s="13" t="s">
        <v>27</v>
      </c>
      <c r="B35" s="13">
        <f>+B34*F35</f>
        <v>317988.45</v>
      </c>
      <c r="D35" s="17" t="s">
        <v>51</v>
      </c>
      <c r="F35" s="12">
        <v>0.3</v>
      </c>
    </row>
    <row r="36" spans="1:6" x14ac:dyDescent="0.25">
      <c r="A36" s="14" t="s">
        <v>28</v>
      </c>
      <c r="B36" s="14">
        <f>+B34-B35</f>
        <v>741973.05</v>
      </c>
      <c r="D36" s="13" t="s">
        <v>46</v>
      </c>
      <c r="F36" s="12">
        <v>0.1</v>
      </c>
    </row>
    <row r="38" spans="1:6" x14ac:dyDescent="0.25">
      <c r="A38" s="20" t="s">
        <v>16</v>
      </c>
      <c r="B38" s="20" t="s">
        <v>29</v>
      </c>
      <c r="C38" s="20" t="s">
        <v>32</v>
      </c>
      <c r="D38" s="20" t="s">
        <v>30</v>
      </c>
      <c r="E38" s="20" t="s">
        <v>31</v>
      </c>
      <c r="F38" s="23" t="s">
        <v>44</v>
      </c>
    </row>
    <row r="39" spans="1:6" x14ac:dyDescent="0.25">
      <c r="A39" s="2">
        <v>1</v>
      </c>
      <c r="B39" s="9">
        <f>+B36</f>
        <v>741973.05</v>
      </c>
      <c r="C39" s="9">
        <f>-PMT($F$36,12,$B$39)</f>
        <v>108894.42453307126</v>
      </c>
      <c r="D39" s="9">
        <f>+B36*$F$36</f>
        <v>74197.305000000008</v>
      </c>
      <c r="E39" s="9">
        <f>+B39-(C39-D39)</f>
        <v>707275.93046692875</v>
      </c>
      <c r="F39" s="9">
        <f>+B39-E39</f>
        <v>34697.119533071294</v>
      </c>
    </row>
    <row r="40" spans="1:6" x14ac:dyDescent="0.25">
      <c r="A40" s="2">
        <v>2</v>
      </c>
      <c r="B40" s="9">
        <f>+E39</f>
        <v>707275.93046692875</v>
      </c>
      <c r="C40" s="9">
        <f t="shared" ref="C40:C50" si="7">-PMT($F$36,12,$B$39)</f>
        <v>108894.42453307126</v>
      </c>
      <c r="D40" s="9">
        <f>+B40*$F$36</f>
        <v>70727.593046692884</v>
      </c>
      <c r="E40" s="9">
        <f t="shared" ref="E40:E50" si="8">+B40-(C40-D40)</f>
        <v>669109.09898055042</v>
      </c>
      <c r="F40" s="9">
        <f t="shared" ref="F40:F50" si="9">+B40-E40</f>
        <v>38166.831486378331</v>
      </c>
    </row>
    <row r="41" spans="1:6" x14ac:dyDescent="0.25">
      <c r="A41" s="2">
        <v>3</v>
      </c>
      <c r="B41" s="9">
        <f t="shared" ref="B41:B50" si="10">+E40</f>
        <v>669109.09898055042</v>
      </c>
      <c r="C41" s="9">
        <f t="shared" si="7"/>
        <v>108894.42453307126</v>
      </c>
      <c r="D41" s="9">
        <f t="shared" ref="D41:D50" si="11">+B41*$F$36</f>
        <v>66910.909898055048</v>
      </c>
      <c r="E41" s="9">
        <f t="shared" si="8"/>
        <v>627125.58434553421</v>
      </c>
      <c r="F41" s="9">
        <f t="shared" si="9"/>
        <v>41983.51463501621</v>
      </c>
    </row>
    <row r="42" spans="1:6" x14ac:dyDescent="0.25">
      <c r="A42" s="2">
        <v>4</v>
      </c>
      <c r="B42" s="9">
        <f t="shared" si="10"/>
        <v>627125.58434553421</v>
      </c>
      <c r="C42" s="9">
        <f t="shared" si="7"/>
        <v>108894.42453307126</v>
      </c>
      <c r="D42" s="9">
        <f t="shared" si="11"/>
        <v>62712.558434553423</v>
      </c>
      <c r="E42" s="9">
        <f t="shared" si="8"/>
        <v>580943.71824701643</v>
      </c>
      <c r="F42" s="9">
        <f t="shared" si="9"/>
        <v>46181.866098517785</v>
      </c>
    </row>
    <row r="43" spans="1:6" x14ac:dyDescent="0.25">
      <c r="A43" s="2">
        <v>5</v>
      </c>
      <c r="B43" s="9">
        <f t="shared" si="10"/>
        <v>580943.71824701643</v>
      </c>
      <c r="C43" s="9">
        <f t="shared" si="7"/>
        <v>108894.42453307126</v>
      </c>
      <c r="D43" s="9">
        <f t="shared" si="11"/>
        <v>58094.371824701644</v>
      </c>
      <c r="E43" s="9">
        <f t="shared" si="8"/>
        <v>530143.66553864686</v>
      </c>
      <c r="F43" s="9">
        <f t="shared" si="9"/>
        <v>50800.052708369563</v>
      </c>
    </row>
    <row r="44" spans="1:6" x14ac:dyDescent="0.25">
      <c r="A44" s="2">
        <v>6</v>
      </c>
      <c r="B44" s="9">
        <f t="shared" si="10"/>
        <v>530143.66553864686</v>
      </c>
      <c r="C44" s="9">
        <f t="shared" si="7"/>
        <v>108894.42453307126</v>
      </c>
      <c r="D44" s="9">
        <f t="shared" si="11"/>
        <v>53014.366553864689</v>
      </c>
      <c r="E44" s="9">
        <f t="shared" si="8"/>
        <v>474263.60755944031</v>
      </c>
      <c r="F44" s="9">
        <f t="shared" si="9"/>
        <v>55880.057979206555</v>
      </c>
    </row>
    <row r="45" spans="1:6" x14ac:dyDescent="0.25">
      <c r="A45" s="2">
        <v>7</v>
      </c>
      <c r="B45" s="9">
        <f t="shared" si="10"/>
        <v>474263.60755944031</v>
      </c>
      <c r="C45" s="9">
        <f t="shared" si="7"/>
        <v>108894.42453307126</v>
      </c>
      <c r="D45" s="9">
        <f t="shared" si="11"/>
        <v>47426.360755944035</v>
      </c>
      <c r="E45" s="9">
        <f t="shared" si="8"/>
        <v>412795.54378231306</v>
      </c>
      <c r="F45" s="9">
        <f t="shared" si="9"/>
        <v>61468.063777127245</v>
      </c>
    </row>
    <row r="46" spans="1:6" x14ac:dyDescent="0.25">
      <c r="A46" s="2">
        <v>8</v>
      </c>
      <c r="B46" s="9">
        <f t="shared" si="10"/>
        <v>412795.54378231306</v>
      </c>
      <c r="C46" s="9">
        <f t="shared" si="7"/>
        <v>108894.42453307126</v>
      </c>
      <c r="D46" s="9">
        <f t="shared" si="11"/>
        <v>41279.554378231311</v>
      </c>
      <c r="E46" s="9">
        <f t="shared" si="8"/>
        <v>345180.67362747312</v>
      </c>
      <c r="F46" s="9">
        <f t="shared" si="9"/>
        <v>67614.87015483994</v>
      </c>
    </row>
    <row r="47" spans="1:6" x14ac:dyDescent="0.25">
      <c r="A47" s="2">
        <v>9</v>
      </c>
      <c r="B47" s="9">
        <f t="shared" si="10"/>
        <v>345180.67362747312</v>
      </c>
      <c r="C47" s="9">
        <f t="shared" si="7"/>
        <v>108894.42453307126</v>
      </c>
      <c r="D47" s="9">
        <f t="shared" si="11"/>
        <v>34518.067362747315</v>
      </c>
      <c r="E47" s="9">
        <f t="shared" si="8"/>
        <v>270804.31645714917</v>
      </c>
      <c r="F47" s="9">
        <f t="shared" si="9"/>
        <v>74376.357170323958</v>
      </c>
    </row>
    <row r="48" spans="1:6" x14ac:dyDescent="0.25">
      <c r="A48" s="2">
        <v>10</v>
      </c>
      <c r="B48" s="9">
        <f t="shared" si="10"/>
        <v>270804.31645714917</v>
      </c>
      <c r="C48" s="9">
        <f t="shared" si="7"/>
        <v>108894.42453307126</v>
      </c>
      <c r="D48" s="9">
        <f t="shared" si="11"/>
        <v>27080.431645714918</v>
      </c>
      <c r="E48" s="9">
        <f t="shared" si="8"/>
        <v>188990.32356979282</v>
      </c>
      <c r="F48" s="9">
        <f t="shared" si="9"/>
        <v>81813.992887356348</v>
      </c>
    </row>
    <row r="49" spans="1:7" x14ac:dyDescent="0.25">
      <c r="A49" s="2">
        <v>11</v>
      </c>
      <c r="B49" s="9">
        <f t="shared" si="10"/>
        <v>188990.32356979282</v>
      </c>
      <c r="C49" s="9">
        <f t="shared" si="7"/>
        <v>108894.42453307126</v>
      </c>
      <c r="D49" s="9">
        <f t="shared" si="11"/>
        <v>18899.032356979282</v>
      </c>
      <c r="E49" s="9">
        <f t="shared" si="8"/>
        <v>98994.931393700841</v>
      </c>
      <c r="F49" s="9">
        <f t="shared" si="9"/>
        <v>89995.392176091977</v>
      </c>
    </row>
    <row r="50" spans="1:7" x14ac:dyDescent="0.25">
      <c r="A50" s="2">
        <v>12</v>
      </c>
      <c r="B50" s="9">
        <f t="shared" si="10"/>
        <v>98994.931393700841</v>
      </c>
      <c r="C50" s="9">
        <f t="shared" si="7"/>
        <v>108894.42453307126</v>
      </c>
      <c r="D50" s="9">
        <f t="shared" si="11"/>
        <v>9899.4931393700845</v>
      </c>
      <c r="E50" s="9">
        <f t="shared" si="8"/>
        <v>-3.3469405025243759E-10</v>
      </c>
      <c r="F50" s="9">
        <f t="shared" si="9"/>
        <v>98994.931393701176</v>
      </c>
      <c r="G50" s="13">
        <f>SUM(F39:F50)</f>
        <v>741973.05000000051</v>
      </c>
    </row>
    <row r="52" spans="1:7" x14ac:dyDescent="0.25">
      <c r="A52" s="85" t="s">
        <v>34</v>
      </c>
      <c r="B52" s="85"/>
      <c r="C52" s="85"/>
      <c r="D52" s="85"/>
    </row>
    <row r="53" spans="1:7" x14ac:dyDescent="0.25">
      <c r="A53" s="22" t="s">
        <v>38</v>
      </c>
      <c r="B53" s="22" t="s">
        <v>7</v>
      </c>
      <c r="C53" s="54" t="s">
        <v>39</v>
      </c>
    </row>
    <row r="54" spans="1:7" x14ac:dyDescent="0.25">
      <c r="A54" s="9" t="s">
        <v>36</v>
      </c>
      <c r="B54" s="9">
        <f>+DATOS!B28</f>
        <v>905899</v>
      </c>
      <c r="C54" s="9">
        <f>+B54/20</f>
        <v>45294.95</v>
      </c>
    </row>
    <row r="55" spans="1:7" x14ac:dyDescent="0.25">
      <c r="A55" s="21" t="s">
        <v>78</v>
      </c>
      <c r="B55" s="9">
        <f>+(DATOS!B26+DATOS!B27)</f>
        <v>140000</v>
      </c>
      <c r="C55" s="9">
        <f>+B55/5</f>
        <v>28000</v>
      </c>
    </row>
    <row r="56" spans="1:7" x14ac:dyDescent="0.25">
      <c r="A56" s="27" t="s">
        <v>43</v>
      </c>
      <c r="B56" s="19">
        <f>+B55+B54</f>
        <v>1045899</v>
      </c>
      <c r="C56" s="19">
        <f>+C55+C54</f>
        <v>73294.95</v>
      </c>
    </row>
    <row r="57" spans="1:7" x14ac:dyDescent="0.25">
      <c r="A57" s="13" t="s">
        <v>37</v>
      </c>
    </row>
    <row r="58" spans="1:7" x14ac:dyDescent="0.25">
      <c r="A58" s="13" t="s">
        <v>79</v>
      </c>
    </row>
    <row r="60" spans="1:7" x14ac:dyDescent="0.25">
      <c r="A60" s="20" t="s">
        <v>40</v>
      </c>
      <c r="B60" s="20" t="s">
        <v>41</v>
      </c>
      <c r="C60" s="22" t="s">
        <v>42</v>
      </c>
      <c r="D60" s="20" t="s">
        <v>43</v>
      </c>
    </row>
    <row r="61" spans="1:7" x14ac:dyDescent="0.25">
      <c r="A61" s="2">
        <v>1</v>
      </c>
      <c r="B61" s="9">
        <f>+$C$54</f>
        <v>45294.95</v>
      </c>
      <c r="C61" s="9">
        <f>+$C$55</f>
        <v>28000</v>
      </c>
      <c r="D61" s="9">
        <f>+C61+B61</f>
        <v>73294.95</v>
      </c>
    </row>
    <row r="62" spans="1:7" x14ac:dyDescent="0.25">
      <c r="A62" s="2">
        <v>2</v>
      </c>
      <c r="B62" s="9">
        <f t="shared" ref="B62:B80" si="12">+$C$54</f>
        <v>45294.95</v>
      </c>
      <c r="C62" s="9">
        <f t="shared" ref="C62:C65" si="13">+$C$55</f>
        <v>28000</v>
      </c>
      <c r="D62" s="9">
        <f t="shared" ref="D62:D81" si="14">+C62+B62</f>
        <v>73294.95</v>
      </c>
    </row>
    <row r="63" spans="1:7" x14ac:dyDescent="0.25">
      <c r="A63" s="2">
        <v>3</v>
      </c>
      <c r="B63" s="9">
        <f t="shared" si="12"/>
        <v>45294.95</v>
      </c>
      <c r="C63" s="9">
        <f t="shared" si="13"/>
        <v>28000</v>
      </c>
      <c r="D63" s="9">
        <f t="shared" si="14"/>
        <v>73294.95</v>
      </c>
    </row>
    <row r="64" spans="1:7" x14ac:dyDescent="0.25">
      <c r="A64" s="2">
        <v>4</v>
      </c>
      <c r="B64" s="9">
        <f t="shared" si="12"/>
        <v>45294.95</v>
      </c>
      <c r="C64" s="9">
        <f t="shared" si="13"/>
        <v>28000</v>
      </c>
      <c r="D64" s="9">
        <f t="shared" si="14"/>
        <v>73294.95</v>
      </c>
    </row>
    <row r="65" spans="1:4" x14ac:dyDescent="0.25">
      <c r="A65" s="2">
        <v>5</v>
      </c>
      <c r="B65" s="9">
        <f t="shared" si="12"/>
        <v>45294.95</v>
      </c>
      <c r="C65" s="9">
        <f t="shared" si="13"/>
        <v>28000</v>
      </c>
      <c r="D65" s="9">
        <f t="shared" si="14"/>
        <v>73294.95</v>
      </c>
    </row>
    <row r="66" spans="1:4" x14ac:dyDescent="0.25">
      <c r="A66" s="2">
        <v>6</v>
      </c>
      <c r="B66" s="9">
        <f t="shared" si="12"/>
        <v>45294.95</v>
      </c>
      <c r="C66" s="9"/>
      <c r="D66" s="9">
        <f t="shared" si="14"/>
        <v>45294.95</v>
      </c>
    </row>
    <row r="67" spans="1:4" x14ac:dyDescent="0.25">
      <c r="A67" s="2">
        <v>7</v>
      </c>
      <c r="B67" s="9">
        <f t="shared" si="12"/>
        <v>45294.95</v>
      </c>
      <c r="C67" s="9"/>
      <c r="D67" s="9">
        <f t="shared" si="14"/>
        <v>45294.95</v>
      </c>
    </row>
    <row r="68" spans="1:4" x14ac:dyDescent="0.25">
      <c r="A68" s="2">
        <v>8</v>
      </c>
      <c r="B68" s="9">
        <f t="shared" si="12"/>
        <v>45294.95</v>
      </c>
      <c r="C68" s="9"/>
      <c r="D68" s="9">
        <f t="shared" si="14"/>
        <v>45294.95</v>
      </c>
    </row>
    <row r="69" spans="1:4" x14ac:dyDescent="0.25">
      <c r="A69" s="2">
        <v>9</v>
      </c>
      <c r="B69" s="9">
        <f t="shared" si="12"/>
        <v>45294.95</v>
      </c>
      <c r="C69" s="9"/>
      <c r="D69" s="9">
        <f t="shared" si="14"/>
        <v>45294.95</v>
      </c>
    </row>
    <row r="70" spans="1:4" x14ac:dyDescent="0.25">
      <c r="A70" s="2">
        <v>10</v>
      </c>
      <c r="B70" s="9">
        <f t="shared" si="12"/>
        <v>45294.95</v>
      </c>
      <c r="C70" s="9"/>
      <c r="D70" s="9">
        <f t="shared" si="14"/>
        <v>45294.95</v>
      </c>
    </row>
    <row r="71" spans="1:4" x14ac:dyDescent="0.25">
      <c r="A71" s="2">
        <v>11</v>
      </c>
      <c r="B71" s="9">
        <f t="shared" si="12"/>
        <v>45294.95</v>
      </c>
      <c r="C71" s="9"/>
      <c r="D71" s="9">
        <f t="shared" si="14"/>
        <v>45294.95</v>
      </c>
    </row>
    <row r="72" spans="1:4" x14ac:dyDescent="0.25">
      <c r="A72" s="2">
        <v>12</v>
      </c>
      <c r="B72" s="9">
        <f t="shared" si="12"/>
        <v>45294.95</v>
      </c>
      <c r="C72" s="9"/>
      <c r="D72" s="9">
        <f t="shared" si="14"/>
        <v>45294.95</v>
      </c>
    </row>
    <row r="73" spans="1:4" x14ac:dyDescent="0.25">
      <c r="A73" s="26">
        <v>13</v>
      </c>
      <c r="B73" s="9">
        <f t="shared" si="12"/>
        <v>45294.95</v>
      </c>
      <c r="C73" s="9"/>
      <c r="D73" s="9">
        <f t="shared" si="14"/>
        <v>45294.95</v>
      </c>
    </row>
    <row r="74" spans="1:4" x14ac:dyDescent="0.25">
      <c r="A74" s="26">
        <v>14</v>
      </c>
      <c r="B74" s="9">
        <f t="shared" si="12"/>
        <v>45294.95</v>
      </c>
      <c r="C74" s="9"/>
      <c r="D74" s="9">
        <f t="shared" si="14"/>
        <v>45294.95</v>
      </c>
    </row>
    <row r="75" spans="1:4" x14ac:dyDescent="0.25">
      <c r="A75" s="26">
        <v>15</v>
      </c>
      <c r="B75" s="9">
        <f t="shared" si="12"/>
        <v>45294.95</v>
      </c>
      <c r="C75" s="9"/>
      <c r="D75" s="9">
        <f t="shared" si="14"/>
        <v>45294.95</v>
      </c>
    </row>
    <row r="76" spans="1:4" x14ac:dyDescent="0.25">
      <c r="A76" s="26">
        <v>16</v>
      </c>
      <c r="B76" s="9">
        <f t="shared" si="12"/>
        <v>45294.95</v>
      </c>
      <c r="C76" s="9"/>
      <c r="D76" s="9">
        <f t="shared" si="14"/>
        <v>45294.95</v>
      </c>
    </row>
    <row r="77" spans="1:4" x14ac:dyDescent="0.25">
      <c r="A77" s="26">
        <v>17</v>
      </c>
      <c r="B77" s="9">
        <f t="shared" si="12"/>
        <v>45294.95</v>
      </c>
      <c r="C77" s="9"/>
      <c r="D77" s="9">
        <f t="shared" si="14"/>
        <v>45294.95</v>
      </c>
    </row>
    <row r="78" spans="1:4" x14ac:dyDescent="0.25">
      <c r="A78" s="26">
        <v>18</v>
      </c>
      <c r="B78" s="9">
        <f t="shared" si="12"/>
        <v>45294.95</v>
      </c>
      <c r="C78" s="9"/>
      <c r="D78" s="9">
        <f t="shared" si="14"/>
        <v>45294.95</v>
      </c>
    </row>
    <row r="79" spans="1:4" x14ac:dyDescent="0.25">
      <c r="A79" s="26">
        <v>19</v>
      </c>
      <c r="B79" s="9">
        <f t="shared" si="12"/>
        <v>45294.95</v>
      </c>
      <c r="C79" s="9"/>
      <c r="D79" s="9">
        <f t="shared" si="14"/>
        <v>45294.95</v>
      </c>
    </row>
    <row r="80" spans="1:4" x14ac:dyDescent="0.25">
      <c r="A80" s="26">
        <v>20</v>
      </c>
      <c r="B80" s="9">
        <f t="shared" si="12"/>
        <v>45294.95</v>
      </c>
      <c r="C80" s="9"/>
      <c r="D80" s="9">
        <f t="shared" si="14"/>
        <v>45294.95</v>
      </c>
    </row>
    <row r="81" spans="1:4" x14ac:dyDescent="0.25">
      <c r="A81" s="20" t="s">
        <v>43</v>
      </c>
      <c r="B81" s="9">
        <f>SUM(B61:B80)</f>
        <v>905898.99999999965</v>
      </c>
      <c r="C81" s="9">
        <f>SUM(C61:C80)</f>
        <v>140000</v>
      </c>
      <c r="D81" s="9">
        <f t="shared" si="14"/>
        <v>1045898.9999999997</v>
      </c>
    </row>
  </sheetData>
  <mergeCells count="4">
    <mergeCell ref="B7:V7"/>
    <mergeCell ref="A33:E33"/>
    <mergeCell ref="A52:D52"/>
    <mergeCell ref="A1:V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82"/>
  <sheetViews>
    <sheetView workbookViewId="0">
      <selection sqref="A1:V1"/>
    </sheetView>
  </sheetViews>
  <sheetFormatPr defaultColWidth="9.140625" defaultRowHeight="15" x14ac:dyDescent="0.25"/>
  <cols>
    <col min="1" max="1" width="29.28515625" style="13" customWidth="1"/>
    <col min="2" max="2" width="13.5703125" style="13" bestFit="1" customWidth="1"/>
    <col min="3" max="3" width="11.7109375" style="13" bestFit="1" customWidth="1"/>
    <col min="4" max="4" width="20.7109375" style="13" bestFit="1" customWidth="1"/>
    <col min="5" max="22" width="11.7109375" style="13" bestFit="1" customWidth="1"/>
    <col min="23" max="16384" width="9.140625" style="13"/>
  </cols>
  <sheetData>
    <row r="1" spans="1:26" x14ac:dyDescent="0.25">
      <c r="A1" s="85" t="s">
        <v>55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</row>
    <row r="4" spans="1:26" x14ac:dyDescent="0.25">
      <c r="D4" s="48" t="s">
        <v>56</v>
      </c>
      <c r="F4" s="49" t="s">
        <v>57</v>
      </c>
      <c r="H4" s="48" t="s">
        <v>58</v>
      </c>
    </row>
    <row r="5" spans="1:26" x14ac:dyDescent="0.25">
      <c r="A5" s="13" t="s">
        <v>81</v>
      </c>
      <c r="B5" s="13">
        <f>+DATOS!D7</f>
        <v>143616</v>
      </c>
      <c r="D5" s="13" t="s">
        <v>54</v>
      </c>
      <c r="F5" s="12">
        <v>0.1</v>
      </c>
      <c r="G5" s="12">
        <v>1</v>
      </c>
      <c r="H5" s="13">
        <f>+G5-F5</f>
        <v>0.9</v>
      </c>
    </row>
    <row r="6" spans="1:26" x14ac:dyDescent="0.25">
      <c r="A6" s="13" t="s">
        <v>82</v>
      </c>
      <c r="B6" s="13">
        <f>+B5*12</f>
        <v>1723392</v>
      </c>
      <c r="D6" s="13" t="s">
        <v>88</v>
      </c>
      <c r="F6" s="12">
        <v>0.1</v>
      </c>
      <c r="G6" s="12">
        <v>1</v>
      </c>
      <c r="H6" s="13">
        <f>+F6+G6</f>
        <v>1.1000000000000001</v>
      </c>
    </row>
    <row r="7" spans="1:26" x14ac:dyDescent="0.25">
      <c r="A7" s="13" t="s">
        <v>77</v>
      </c>
      <c r="B7" s="29">
        <f>+DATOS!D21</f>
        <v>0.4</v>
      </c>
    </row>
    <row r="8" spans="1:26" ht="15.75" thickBot="1" x14ac:dyDescent="0.3"/>
    <row r="9" spans="1:26" x14ac:dyDescent="0.25">
      <c r="A9" s="47" t="s">
        <v>45</v>
      </c>
      <c r="B9" s="82" t="s">
        <v>52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4"/>
    </row>
    <row r="10" spans="1:26" x14ac:dyDescent="0.25">
      <c r="A10" s="9" t="s">
        <v>12</v>
      </c>
      <c r="B10" s="26">
        <v>0</v>
      </c>
      <c r="C10" s="26">
        <v>1</v>
      </c>
      <c r="D10" s="26">
        <v>2</v>
      </c>
      <c r="E10" s="26">
        <v>3</v>
      </c>
      <c r="F10" s="26">
        <v>4</v>
      </c>
      <c r="G10" s="26">
        <v>5</v>
      </c>
      <c r="H10" s="26">
        <v>6</v>
      </c>
      <c r="I10" s="26">
        <v>7</v>
      </c>
      <c r="J10" s="26">
        <v>8</v>
      </c>
      <c r="K10" s="26">
        <v>9</v>
      </c>
      <c r="L10" s="26">
        <v>10</v>
      </c>
      <c r="M10" s="26">
        <v>11</v>
      </c>
      <c r="N10" s="26">
        <v>12</v>
      </c>
      <c r="O10" s="26">
        <v>13</v>
      </c>
      <c r="P10" s="26">
        <v>14</v>
      </c>
      <c r="Q10" s="26">
        <v>15</v>
      </c>
      <c r="R10" s="26">
        <v>16</v>
      </c>
      <c r="S10" s="26">
        <v>17</v>
      </c>
      <c r="T10" s="26">
        <v>18</v>
      </c>
      <c r="U10" s="26">
        <v>19</v>
      </c>
      <c r="V10" s="26">
        <v>20</v>
      </c>
      <c r="W10" s="15"/>
      <c r="X10" s="15"/>
      <c r="Y10" s="15"/>
      <c r="Z10" s="15"/>
    </row>
    <row r="11" spans="1:26" x14ac:dyDescent="0.25">
      <c r="A11" s="9" t="s">
        <v>25</v>
      </c>
      <c r="B11" s="2">
        <f>-DATOS!B29</f>
        <v>-1045899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15"/>
      <c r="X11" s="15"/>
      <c r="Y11" s="15"/>
      <c r="Z11" s="15"/>
    </row>
    <row r="12" spans="1:26" x14ac:dyDescent="0.25">
      <c r="A12" s="9" t="s">
        <v>118</v>
      </c>
      <c r="B12" s="2">
        <f>+EVALUACION!B10</f>
        <v>-14062.5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15"/>
      <c r="X12" s="15"/>
      <c r="Y12" s="15"/>
      <c r="Z12" s="15"/>
    </row>
    <row r="13" spans="1:26" x14ac:dyDescent="0.25">
      <c r="A13" s="9" t="s">
        <v>47</v>
      </c>
      <c r="B13" s="2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5">
        <f>0.2*DATOS!B28</f>
        <v>181179.80000000002</v>
      </c>
      <c r="W13" s="15"/>
      <c r="X13" s="15"/>
      <c r="Y13" s="15"/>
      <c r="Z13" s="15"/>
    </row>
    <row r="14" spans="1:26" x14ac:dyDescent="0.25">
      <c r="A14" s="9" t="s">
        <v>12</v>
      </c>
      <c r="B14" s="28"/>
      <c r="C14" s="28">
        <f>+EVALUACION!C12</f>
        <v>0.7</v>
      </c>
      <c r="D14" s="28">
        <f>+EVALUACION!D12</f>
        <v>0.75</v>
      </c>
      <c r="E14" s="28">
        <f>+EVALUACION!E12</f>
        <v>0.8</v>
      </c>
      <c r="F14" s="28">
        <f>+EVALUACION!F12</f>
        <v>0.9</v>
      </c>
      <c r="G14" s="28">
        <f>+EVALUACION!G12</f>
        <v>1</v>
      </c>
      <c r="H14" s="28">
        <f>+EVALUACION!H12</f>
        <v>1</v>
      </c>
      <c r="I14" s="28">
        <f>+EVALUACION!I12</f>
        <v>1</v>
      </c>
      <c r="J14" s="28">
        <f>+EVALUACION!J12</f>
        <v>1</v>
      </c>
      <c r="K14" s="28">
        <f>+EVALUACION!K12</f>
        <v>1</v>
      </c>
      <c r="L14" s="28">
        <f>+EVALUACION!L12</f>
        <v>1</v>
      </c>
      <c r="M14" s="28">
        <f>+EVALUACION!M12</f>
        <v>1</v>
      </c>
      <c r="N14" s="28">
        <f>+EVALUACION!N12</f>
        <v>1</v>
      </c>
      <c r="O14" s="28">
        <f>+EVALUACION!O12</f>
        <v>1</v>
      </c>
      <c r="P14" s="28">
        <f>+EVALUACION!P12</f>
        <v>1</v>
      </c>
      <c r="Q14" s="28">
        <f>+EVALUACION!Q12</f>
        <v>1</v>
      </c>
      <c r="R14" s="28">
        <f>+EVALUACION!R12</f>
        <v>1</v>
      </c>
      <c r="S14" s="28">
        <f>+EVALUACION!S12</f>
        <v>1</v>
      </c>
      <c r="T14" s="28">
        <f>+EVALUACION!T12</f>
        <v>1</v>
      </c>
      <c r="U14" s="28">
        <f>+EVALUACION!U12</f>
        <v>1</v>
      </c>
      <c r="V14" s="28">
        <f>+EVALUACION!V12</f>
        <v>1</v>
      </c>
    </row>
    <row r="15" spans="1:26" x14ac:dyDescent="0.25">
      <c r="A15" s="9" t="s">
        <v>2</v>
      </c>
      <c r="B15" s="9"/>
      <c r="C15" s="9">
        <f>+$B$6*$B$7*C14*$H$5</f>
        <v>434294.78400000004</v>
      </c>
      <c r="D15" s="9">
        <f t="shared" ref="D15:V15" si="0">+$B$6*$B$7*D14*$H$5</f>
        <v>465315.84000000003</v>
      </c>
      <c r="E15" s="9">
        <f t="shared" si="0"/>
        <v>496336.89600000007</v>
      </c>
      <c r="F15" s="9">
        <f t="shared" si="0"/>
        <v>558379.00800000015</v>
      </c>
      <c r="G15" s="9">
        <f t="shared" si="0"/>
        <v>620421.12000000011</v>
      </c>
      <c r="H15" s="9">
        <f t="shared" si="0"/>
        <v>620421.12000000011</v>
      </c>
      <c r="I15" s="9">
        <f t="shared" si="0"/>
        <v>620421.12000000011</v>
      </c>
      <c r="J15" s="9">
        <f t="shared" si="0"/>
        <v>620421.12000000011</v>
      </c>
      <c r="K15" s="9">
        <f t="shared" si="0"/>
        <v>620421.12000000011</v>
      </c>
      <c r="L15" s="9">
        <f t="shared" si="0"/>
        <v>620421.12000000011</v>
      </c>
      <c r="M15" s="9">
        <f t="shared" si="0"/>
        <v>620421.12000000011</v>
      </c>
      <c r="N15" s="9">
        <f t="shared" si="0"/>
        <v>620421.12000000011</v>
      </c>
      <c r="O15" s="9">
        <f t="shared" si="0"/>
        <v>620421.12000000011</v>
      </c>
      <c r="P15" s="9">
        <f t="shared" si="0"/>
        <v>620421.12000000011</v>
      </c>
      <c r="Q15" s="9">
        <f t="shared" si="0"/>
        <v>620421.12000000011</v>
      </c>
      <c r="R15" s="9">
        <f t="shared" si="0"/>
        <v>620421.12000000011</v>
      </c>
      <c r="S15" s="9">
        <f t="shared" si="0"/>
        <v>620421.12000000011</v>
      </c>
      <c r="T15" s="9">
        <f t="shared" si="0"/>
        <v>620421.12000000011</v>
      </c>
      <c r="U15" s="9">
        <f t="shared" si="0"/>
        <v>620421.12000000011</v>
      </c>
      <c r="V15" s="9">
        <f t="shared" si="0"/>
        <v>620421.12000000011</v>
      </c>
    </row>
    <row r="16" spans="1:26" x14ac:dyDescent="0.25">
      <c r="A16" s="19" t="s">
        <v>13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15.75" thickBot="1" x14ac:dyDescent="0.3">
      <c r="A17" s="34" t="s">
        <v>74</v>
      </c>
      <c r="B17" s="34"/>
      <c r="C17" s="34">
        <f>+DATOS!$B$39*EVALUACION!$B$4*EVALUACION!C12*$H$6</f>
        <v>66350.592000000004</v>
      </c>
      <c r="D17" s="34">
        <f>+DATOS!$B$39*EVALUACION!$B$4*EVALUACION!D12*$H$6</f>
        <v>71089.920000000013</v>
      </c>
      <c r="E17" s="34">
        <f>+DATOS!$B$39*EVALUACION!$B$4*EVALUACION!E12*$H$6</f>
        <v>75829.248000000021</v>
      </c>
      <c r="F17" s="34">
        <f>+DATOS!$B$39*EVALUACION!$B$4*EVALUACION!F12*$H$6</f>
        <v>85307.904000000024</v>
      </c>
      <c r="G17" s="34">
        <f>+DATOS!$B$39*EVALUACION!$B$4*EVALUACION!G12*$H$6</f>
        <v>94786.560000000012</v>
      </c>
      <c r="H17" s="34">
        <f>+DATOS!$B$39*EVALUACION!$B$4*EVALUACION!H12*$H$6</f>
        <v>94786.560000000012</v>
      </c>
      <c r="I17" s="34">
        <f>+DATOS!$B$39*EVALUACION!$B$4*EVALUACION!I12*$H$6</f>
        <v>94786.560000000012</v>
      </c>
      <c r="J17" s="34">
        <f>+DATOS!$B$39*EVALUACION!$B$4*EVALUACION!J12*$H$6</f>
        <v>94786.560000000012</v>
      </c>
      <c r="K17" s="34">
        <f>+DATOS!$B$39*EVALUACION!$B$4*EVALUACION!K12*$H$6</f>
        <v>94786.560000000012</v>
      </c>
      <c r="L17" s="34">
        <f>+DATOS!$B$39*EVALUACION!$B$4*EVALUACION!L12*$H$6</f>
        <v>94786.560000000012</v>
      </c>
      <c r="M17" s="34">
        <f>+DATOS!$B$39*EVALUACION!$B$4*EVALUACION!M12*$H$6</f>
        <v>94786.560000000012</v>
      </c>
      <c r="N17" s="34">
        <f>+DATOS!$B$39*EVALUACION!$B$4*EVALUACION!N12*$H$6</f>
        <v>94786.560000000012</v>
      </c>
      <c r="O17" s="34">
        <f>+DATOS!$B$39*EVALUACION!$B$4*EVALUACION!O12*$H$6</f>
        <v>94786.560000000012</v>
      </c>
      <c r="P17" s="34">
        <f>+DATOS!$B$39*EVALUACION!$B$4*EVALUACION!P12*$H$6</f>
        <v>94786.560000000012</v>
      </c>
      <c r="Q17" s="34">
        <f>+DATOS!$B$39*EVALUACION!$B$4*EVALUACION!Q12*$H$6</f>
        <v>94786.560000000012</v>
      </c>
      <c r="R17" s="34">
        <f>+DATOS!$B$39*EVALUACION!$B$4*EVALUACION!R12*$H$6</f>
        <v>94786.560000000012</v>
      </c>
      <c r="S17" s="34">
        <f>+DATOS!$B$39*EVALUACION!$B$4*EVALUACION!S12*$H$6</f>
        <v>94786.560000000012</v>
      </c>
      <c r="T17" s="34">
        <f>+DATOS!$B$39*EVALUACION!$B$4*EVALUACION!T12*$H$6</f>
        <v>94786.560000000012</v>
      </c>
      <c r="U17" s="34">
        <f>+DATOS!$B$39*EVALUACION!$B$4*EVALUACION!U12*$H$6</f>
        <v>94786.560000000012</v>
      </c>
      <c r="V17" s="34">
        <f>+DATOS!$B$39*EVALUACION!$B$4*EVALUACION!V12*$H$6</f>
        <v>94786.560000000012</v>
      </c>
    </row>
    <row r="18" spans="1:22" s="14" customFormat="1" ht="15.75" thickBot="1" x14ac:dyDescent="0.3">
      <c r="A18" s="41" t="s">
        <v>14</v>
      </c>
      <c r="B18" s="42"/>
      <c r="C18" s="42">
        <f>+C15-C17</f>
        <v>367944.19200000004</v>
      </c>
      <c r="D18" s="42">
        <f t="shared" ref="D18:V18" si="1">+D15-D17</f>
        <v>394225.92000000004</v>
      </c>
      <c r="E18" s="42">
        <f t="shared" si="1"/>
        <v>420507.64800000004</v>
      </c>
      <c r="F18" s="42">
        <f t="shared" si="1"/>
        <v>473071.10400000011</v>
      </c>
      <c r="G18" s="42">
        <f t="shared" si="1"/>
        <v>525634.56000000006</v>
      </c>
      <c r="H18" s="42">
        <f t="shared" si="1"/>
        <v>525634.56000000006</v>
      </c>
      <c r="I18" s="42">
        <f t="shared" si="1"/>
        <v>525634.56000000006</v>
      </c>
      <c r="J18" s="42">
        <f t="shared" si="1"/>
        <v>525634.56000000006</v>
      </c>
      <c r="K18" s="42">
        <f t="shared" si="1"/>
        <v>525634.56000000006</v>
      </c>
      <c r="L18" s="42">
        <f t="shared" si="1"/>
        <v>525634.56000000006</v>
      </c>
      <c r="M18" s="42">
        <f t="shared" si="1"/>
        <v>525634.56000000006</v>
      </c>
      <c r="N18" s="42">
        <f t="shared" si="1"/>
        <v>525634.56000000006</v>
      </c>
      <c r="O18" s="42">
        <f t="shared" si="1"/>
        <v>525634.56000000006</v>
      </c>
      <c r="P18" s="42">
        <f t="shared" si="1"/>
        <v>525634.56000000006</v>
      </c>
      <c r="Q18" s="42">
        <f t="shared" si="1"/>
        <v>525634.56000000006</v>
      </c>
      <c r="R18" s="42">
        <f t="shared" si="1"/>
        <v>525634.56000000006</v>
      </c>
      <c r="S18" s="42">
        <f t="shared" si="1"/>
        <v>525634.56000000006</v>
      </c>
      <c r="T18" s="42">
        <f t="shared" si="1"/>
        <v>525634.56000000006</v>
      </c>
      <c r="U18" s="42">
        <f t="shared" si="1"/>
        <v>525634.56000000006</v>
      </c>
      <c r="V18" s="43">
        <f t="shared" si="1"/>
        <v>525634.56000000006</v>
      </c>
    </row>
    <row r="19" spans="1:22" x14ac:dyDescent="0.25">
      <c r="A19" s="35" t="s">
        <v>75</v>
      </c>
      <c r="B19" s="35"/>
      <c r="C19" s="35">
        <v>72862</v>
      </c>
      <c r="D19" s="35">
        <f>+DATOS!$B$40*EVALUACION!$B$4+D63</f>
        <v>211166.31</v>
      </c>
      <c r="E19" s="35">
        <f>+DATOS!$B$40*EVALUACION!$B$4+D64</f>
        <v>211166.31</v>
      </c>
      <c r="F19" s="35">
        <f>+DATOS!$B$40*EVALUACION!$B$4+D65</f>
        <v>211166.31</v>
      </c>
      <c r="G19" s="35">
        <f>+DATOS!$B$40*EVALUACION!$B$4+D66</f>
        <v>211166.31</v>
      </c>
      <c r="H19" s="35">
        <f>+DATOS!$B$40*EVALUACION!$B$4+D67</f>
        <v>183166.31</v>
      </c>
      <c r="I19" s="35">
        <f>+DATOS!$B$40*EVALUACION!$B$4+D68</f>
        <v>183166.31</v>
      </c>
      <c r="J19" s="35">
        <f>+DATOS!$B$40*EVALUACION!$B$4+D69</f>
        <v>183166.31</v>
      </c>
      <c r="K19" s="35">
        <f>+DATOS!$B$40*EVALUACION!$B$4+D70</f>
        <v>183166.31</v>
      </c>
      <c r="L19" s="35">
        <f>+DATOS!$B$40*EVALUACION!$B$4+D71</f>
        <v>183166.31</v>
      </c>
      <c r="M19" s="35">
        <f>+DATOS!$B$40*EVALUACION!$B$4+D72</f>
        <v>183166.31</v>
      </c>
      <c r="N19" s="35">
        <f>+DATOS!$B$40*EVALUACION!$B$4+D73</f>
        <v>183166.31</v>
      </c>
      <c r="O19" s="35">
        <f>+DATOS!$B$40*EVALUACION!$B$4+D74</f>
        <v>183166.31</v>
      </c>
      <c r="P19" s="35">
        <f>+DATOS!$B$40*EVALUACION!$B$4+D75</f>
        <v>183166.31</v>
      </c>
      <c r="Q19" s="35">
        <f>+DATOS!$B$40*EVALUACION!$B$4+D76</f>
        <v>183166.31</v>
      </c>
      <c r="R19" s="35">
        <f>+DATOS!$B$40*EVALUACION!$B$4+D77</f>
        <v>183166.31</v>
      </c>
      <c r="S19" s="35">
        <f>+DATOS!$B$40*EVALUACION!$B$4+D78</f>
        <v>183166.31</v>
      </c>
      <c r="T19" s="35">
        <f>+DATOS!$B$40*EVALUACION!$B$4+D79</f>
        <v>183166.31</v>
      </c>
      <c r="U19" s="35">
        <f>+DATOS!$B$40*EVALUACION!$B$4+D80</f>
        <v>183166.31</v>
      </c>
      <c r="V19" s="35">
        <f>+DATOS!$B$40*EVALUACION!$B$4+D81</f>
        <v>183166.31</v>
      </c>
    </row>
    <row r="20" spans="1:22" ht="15.75" thickBot="1" x14ac:dyDescent="0.3">
      <c r="A20" s="34" t="s">
        <v>76</v>
      </c>
      <c r="B20" s="34"/>
      <c r="C20" s="34">
        <f>+$B$6*DATOS!$B$41*EVALUACION!C12</f>
        <v>96509.952000000005</v>
      </c>
      <c r="D20" s="34">
        <f>+$B$6*DATOS!$B$41*EVALUACION!D12</f>
        <v>103403.52000000002</v>
      </c>
      <c r="E20" s="34">
        <f>+$B$6*DATOS!$B$41*EVALUACION!E12</f>
        <v>110297.08800000002</v>
      </c>
      <c r="F20" s="34">
        <f>+$B$6*DATOS!$B$41*EVALUACION!F12</f>
        <v>124084.22400000002</v>
      </c>
      <c r="G20" s="34">
        <f>+$B$6*DATOS!$B$41*EVALUACION!G12</f>
        <v>137871.36000000002</v>
      </c>
      <c r="H20" s="34">
        <f>+$B$6*DATOS!$B$41*EVALUACION!H12</f>
        <v>137871.36000000002</v>
      </c>
      <c r="I20" s="34">
        <f>+$B$6*DATOS!$B$41*EVALUACION!I12</f>
        <v>137871.36000000002</v>
      </c>
      <c r="J20" s="34">
        <f>+$B$6*DATOS!$B$41*EVALUACION!J12</f>
        <v>137871.36000000002</v>
      </c>
      <c r="K20" s="34">
        <f>+$B$6*DATOS!$B$41*EVALUACION!K12</f>
        <v>137871.36000000002</v>
      </c>
      <c r="L20" s="34">
        <f>+$B$6*DATOS!$B$41*EVALUACION!L12</f>
        <v>137871.36000000002</v>
      </c>
      <c r="M20" s="34">
        <f>+$B$6*DATOS!$B$41*EVALUACION!M12</f>
        <v>137871.36000000002</v>
      </c>
      <c r="N20" s="34">
        <f>+$B$6*DATOS!$B$41*EVALUACION!N12</f>
        <v>137871.36000000002</v>
      </c>
      <c r="O20" s="34">
        <f>+$B$6*DATOS!$B$41*EVALUACION!O12</f>
        <v>137871.36000000002</v>
      </c>
      <c r="P20" s="34">
        <f>+$B$6*DATOS!$B$41*EVALUACION!P12</f>
        <v>137871.36000000002</v>
      </c>
      <c r="Q20" s="34">
        <f>+$B$6*DATOS!$B$41*EVALUACION!Q12</f>
        <v>137871.36000000002</v>
      </c>
      <c r="R20" s="34">
        <f>+$B$6*DATOS!$B$41*EVALUACION!R12</f>
        <v>137871.36000000002</v>
      </c>
      <c r="S20" s="34">
        <f>+$B$6*DATOS!$B$41*EVALUACION!S12</f>
        <v>137871.36000000002</v>
      </c>
      <c r="T20" s="34">
        <f>+$B$6*DATOS!$B$41*EVALUACION!T12</f>
        <v>137871.36000000002</v>
      </c>
      <c r="U20" s="34">
        <f>+$B$6*DATOS!$B$41*EVALUACION!U12</f>
        <v>137871.36000000002</v>
      </c>
      <c r="V20" s="34">
        <f>+$B$6*DATOS!$B$41*EVALUACION!V12</f>
        <v>137871.36000000002</v>
      </c>
    </row>
    <row r="21" spans="1:22" s="14" customFormat="1" ht="15.75" thickBot="1" x14ac:dyDescent="0.3">
      <c r="A21" s="41" t="s">
        <v>15</v>
      </c>
      <c r="B21" s="42"/>
      <c r="C21" s="42">
        <f>+C18-C19-C20</f>
        <v>198572.24000000005</v>
      </c>
      <c r="D21" s="42">
        <f t="shared" ref="D21:V21" si="2">+D18-D19-D20</f>
        <v>79656.090000000026</v>
      </c>
      <c r="E21" s="42">
        <f t="shared" si="2"/>
        <v>99044.250000000029</v>
      </c>
      <c r="F21" s="42">
        <f t="shared" si="2"/>
        <v>137820.57000000009</v>
      </c>
      <c r="G21" s="42">
        <f t="shared" si="2"/>
        <v>176596.89000000004</v>
      </c>
      <c r="H21" s="42">
        <f t="shared" si="2"/>
        <v>204596.89000000004</v>
      </c>
      <c r="I21" s="42">
        <f t="shared" si="2"/>
        <v>204596.89000000004</v>
      </c>
      <c r="J21" s="42">
        <f t="shared" si="2"/>
        <v>204596.89000000004</v>
      </c>
      <c r="K21" s="42">
        <f t="shared" si="2"/>
        <v>204596.89000000004</v>
      </c>
      <c r="L21" s="42">
        <f t="shared" si="2"/>
        <v>204596.89000000004</v>
      </c>
      <c r="M21" s="42">
        <f t="shared" si="2"/>
        <v>204596.89000000004</v>
      </c>
      <c r="N21" s="42">
        <f t="shared" si="2"/>
        <v>204596.89000000004</v>
      </c>
      <c r="O21" s="42">
        <f t="shared" si="2"/>
        <v>204596.89000000004</v>
      </c>
      <c r="P21" s="42">
        <f t="shared" si="2"/>
        <v>204596.89000000004</v>
      </c>
      <c r="Q21" s="42">
        <f t="shared" si="2"/>
        <v>204596.89000000004</v>
      </c>
      <c r="R21" s="42">
        <f t="shared" si="2"/>
        <v>204596.89000000004</v>
      </c>
      <c r="S21" s="42">
        <f t="shared" si="2"/>
        <v>204596.89000000004</v>
      </c>
      <c r="T21" s="42">
        <f t="shared" si="2"/>
        <v>204596.89000000004</v>
      </c>
      <c r="U21" s="42">
        <f t="shared" si="2"/>
        <v>204596.89000000004</v>
      </c>
      <c r="V21" s="43">
        <f t="shared" si="2"/>
        <v>204596.89000000004</v>
      </c>
    </row>
    <row r="22" spans="1:22" ht="15.75" thickBot="1" x14ac:dyDescent="0.3">
      <c r="A22" s="39" t="s">
        <v>119</v>
      </c>
      <c r="B22" s="39"/>
      <c r="C22" s="39">
        <f>+EVALUACION!C20*SENSIBILIZACION!$H$5</f>
        <v>3401.9999999999995</v>
      </c>
      <c r="D22" s="39">
        <f>+EVALUACION!D20*SENSIBILIZACION!$H$5</f>
        <v>3645</v>
      </c>
      <c r="E22" s="39">
        <f>+EVALUACION!E20*SENSIBILIZACION!$H$5</f>
        <v>3888</v>
      </c>
      <c r="F22" s="39">
        <f>+EVALUACION!F20*SENSIBILIZACION!$H$5</f>
        <v>4374</v>
      </c>
      <c r="G22" s="39">
        <f>+EVALUACION!G20*SENSIBILIZACION!$H$5</f>
        <v>4860</v>
      </c>
      <c r="H22" s="39">
        <f>+EVALUACION!H20*SENSIBILIZACION!$H$5</f>
        <v>4860</v>
      </c>
      <c r="I22" s="39">
        <f>+EVALUACION!I20*SENSIBILIZACION!$H$5</f>
        <v>4860</v>
      </c>
      <c r="J22" s="39">
        <f>+EVALUACION!J20*SENSIBILIZACION!$H$5</f>
        <v>4860</v>
      </c>
      <c r="K22" s="39">
        <f>+EVALUACION!K20*SENSIBILIZACION!$H$5</f>
        <v>4860</v>
      </c>
      <c r="L22" s="39">
        <f>+EVALUACION!L20*SENSIBILIZACION!$H$5</f>
        <v>4860</v>
      </c>
      <c r="M22" s="39">
        <f>+EVALUACION!M20*SENSIBILIZACION!$H$5</f>
        <v>4860</v>
      </c>
      <c r="N22" s="39">
        <f>+EVALUACION!N20*SENSIBILIZACION!$H$5</f>
        <v>4860</v>
      </c>
      <c r="O22" s="39">
        <f>+EVALUACION!O20*SENSIBILIZACION!$H$5</f>
        <v>4860</v>
      </c>
      <c r="P22" s="39">
        <f>+EVALUACION!P20*SENSIBILIZACION!$H$5</f>
        <v>4860</v>
      </c>
      <c r="Q22" s="39">
        <f>+EVALUACION!Q20*SENSIBILIZACION!$H$5</f>
        <v>4860</v>
      </c>
      <c r="R22" s="39">
        <f>+EVALUACION!R20*SENSIBILIZACION!$H$5</f>
        <v>4860</v>
      </c>
      <c r="S22" s="39">
        <f>+EVALUACION!S20*SENSIBILIZACION!$H$5</f>
        <v>4860</v>
      </c>
      <c r="T22" s="39">
        <f>+EVALUACION!T20*SENSIBILIZACION!$H$5</f>
        <v>4860</v>
      </c>
      <c r="U22" s="39">
        <f>+EVALUACION!U20*SENSIBILIZACION!$H$5</f>
        <v>4860</v>
      </c>
      <c r="V22" s="39">
        <f>+EVALUACION!V20*SENSIBILIZACION!$H$5</f>
        <v>4860</v>
      </c>
    </row>
    <row r="23" spans="1:22" s="14" customFormat="1" ht="15.75" thickBot="1" x14ac:dyDescent="0.3">
      <c r="A23" s="41" t="s">
        <v>17</v>
      </c>
      <c r="B23" s="42"/>
      <c r="C23" s="42">
        <f>+C21+C22</f>
        <v>201974.24000000005</v>
      </c>
      <c r="D23" s="42">
        <f t="shared" ref="D23:V23" si="3">+D21+D22</f>
        <v>83301.090000000026</v>
      </c>
      <c r="E23" s="42">
        <f t="shared" si="3"/>
        <v>102932.25000000003</v>
      </c>
      <c r="F23" s="42">
        <f t="shared" si="3"/>
        <v>142194.57000000009</v>
      </c>
      <c r="G23" s="42">
        <f t="shared" si="3"/>
        <v>181456.89000000004</v>
      </c>
      <c r="H23" s="42">
        <f t="shared" si="3"/>
        <v>209456.89000000004</v>
      </c>
      <c r="I23" s="42">
        <f t="shared" si="3"/>
        <v>209456.89000000004</v>
      </c>
      <c r="J23" s="42">
        <f t="shared" si="3"/>
        <v>209456.89000000004</v>
      </c>
      <c r="K23" s="42">
        <f t="shared" si="3"/>
        <v>209456.89000000004</v>
      </c>
      <c r="L23" s="42">
        <f t="shared" si="3"/>
        <v>209456.89000000004</v>
      </c>
      <c r="M23" s="42">
        <f t="shared" si="3"/>
        <v>209456.89000000004</v>
      </c>
      <c r="N23" s="42">
        <f t="shared" si="3"/>
        <v>209456.89000000004</v>
      </c>
      <c r="O23" s="42">
        <f t="shared" si="3"/>
        <v>209456.89000000004</v>
      </c>
      <c r="P23" s="42">
        <f t="shared" si="3"/>
        <v>209456.89000000004</v>
      </c>
      <c r="Q23" s="42">
        <f t="shared" si="3"/>
        <v>209456.89000000004</v>
      </c>
      <c r="R23" s="42">
        <f t="shared" si="3"/>
        <v>209456.89000000004</v>
      </c>
      <c r="S23" s="42">
        <f t="shared" si="3"/>
        <v>209456.89000000004</v>
      </c>
      <c r="T23" s="42">
        <f t="shared" si="3"/>
        <v>209456.89000000004</v>
      </c>
      <c r="U23" s="42">
        <f t="shared" si="3"/>
        <v>209456.89000000004</v>
      </c>
      <c r="V23" s="43">
        <f t="shared" si="3"/>
        <v>209456.89000000004</v>
      </c>
    </row>
    <row r="24" spans="1:22" ht="15.75" thickBot="1" x14ac:dyDescent="0.3">
      <c r="A24" s="40" t="s">
        <v>23</v>
      </c>
      <c r="B24" s="39"/>
      <c r="C24" s="39">
        <f>+D40</f>
        <v>74197.305000000008</v>
      </c>
      <c r="D24" s="39">
        <f>+D41</f>
        <v>70727.593046692884</v>
      </c>
      <c r="E24" s="39">
        <f>+D42</f>
        <v>66910.909898055048</v>
      </c>
      <c r="F24" s="39">
        <f>+D43</f>
        <v>62712.558434553423</v>
      </c>
      <c r="G24" s="39">
        <f>+D44</f>
        <v>58094.371824701644</v>
      </c>
      <c r="H24" s="39">
        <f>+D45</f>
        <v>53014.366553864689</v>
      </c>
      <c r="I24" s="39">
        <f>+D46</f>
        <v>47426.360755944035</v>
      </c>
      <c r="J24" s="39">
        <f>+D47</f>
        <v>41279.554378231311</v>
      </c>
      <c r="K24" s="39">
        <f>+D48</f>
        <v>34518.067362747315</v>
      </c>
      <c r="L24" s="39">
        <f>+D49</f>
        <v>27080.431645714918</v>
      </c>
      <c r="M24" s="39">
        <f>+D50</f>
        <v>18899.032356979282</v>
      </c>
      <c r="N24" s="39">
        <f>+D51</f>
        <v>9899.4931393700845</v>
      </c>
      <c r="O24" s="39"/>
      <c r="P24" s="39"/>
      <c r="Q24" s="39"/>
      <c r="R24" s="39"/>
      <c r="S24" s="39"/>
      <c r="T24" s="39"/>
      <c r="U24" s="39"/>
      <c r="V24" s="39"/>
    </row>
    <row r="25" spans="1:22" s="14" customFormat="1" ht="15.75" thickBot="1" x14ac:dyDescent="0.3">
      <c r="A25" s="36" t="s">
        <v>24</v>
      </c>
      <c r="B25" s="37"/>
      <c r="C25" s="37">
        <f>+C23-C24</f>
        <v>127776.93500000004</v>
      </c>
      <c r="D25" s="37">
        <f t="shared" ref="D25:V25" si="4">+D23-D24</f>
        <v>12573.496953307142</v>
      </c>
      <c r="E25" s="37">
        <f t="shared" si="4"/>
        <v>36021.340101944981</v>
      </c>
      <c r="F25" s="37">
        <f t="shared" si="4"/>
        <v>79482.011565446679</v>
      </c>
      <c r="G25" s="37">
        <f t="shared" si="4"/>
        <v>123362.51817529841</v>
      </c>
      <c r="H25" s="37">
        <f t="shared" si="4"/>
        <v>156442.52344613534</v>
      </c>
      <c r="I25" s="37">
        <f t="shared" si="4"/>
        <v>162030.529244056</v>
      </c>
      <c r="J25" s="37">
        <f t="shared" si="4"/>
        <v>168177.33562176873</v>
      </c>
      <c r="K25" s="37">
        <f t="shared" si="4"/>
        <v>174938.82263725274</v>
      </c>
      <c r="L25" s="37">
        <f t="shared" si="4"/>
        <v>182376.45835428513</v>
      </c>
      <c r="M25" s="37">
        <f t="shared" si="4"/>
        <v>190557.85764302075</v>
      </c>
      <c r="N25" s="37">
        <f t="shared" si="4"/>
        <v>199557.39686062996</v>
      </c>
      <c r="O25" s="37">
        <f t="shared" si="4"/>
        <v>209456.89000000004</v>
      </c>
      <c r="P25" s="37">
        <f t="shared" si="4"/>
        <v>209456.89000000004</v>
      </c>
      <c r="Q25" s="37">
        <f t="shared" si="4"/>
        <v>209456.89000000004</v>
      </c>
      <c r="R25" s="37">
        <f t="shared" si="4"/>
        <v>209456.89000000004</v>
      </c>
      <c r="S25" s="37">
        <f t="shared" si="4"/>
        <v>209456.89000000004</v>
      </c>
      <c r="T25" s="37">
        <f t="shared" si="4"/>
        <v>209456.89000000004</v>
      </c>
      <c r="U25" s="37">
        <f t="shared" si="4"/>
        <v>209456.89000000004</v>
      </c>
      <c r="V25" s="38">
        <f t="shared" si="4"/>
        <v>209456.89000000004</v>
      </c>
    </row>
    <row r="26" spans="1:22" x14ac:dyDescent="0.25">
      <c r="A26" s="35" t="s">
        <v>18</v>
      </c>
      <c r="B26" s="35"/>
      <c r="C26" s="35">
        <f>+IF(C25&lt;=0,0,C25*DATOS!$C$43)</f>
        <v>38333.080500000011</v>
      </c>
      <c r="D26" s="35">
        <f>+IF(D25&lt;=0,0,D25*DATOS!$C$43)</f>
        <v>3772.0490859921424</v>
      </c>
      <c r="E26" s="35">
        <f>+IF(E25&lt;=0,0,E25*DATOS!$C$43)</f>
        <v>10806.402030583495</v>
      </c>
      <c r="F26" s="35">
        <f>+IF(F25&lt;=0,0,F25*DATOS!$C$43)</f>
        <v>23844.603469634003</v>
      </c>
      <c r="G26" s="35">
        <f>+IF(G25&lt;=0,0,G25*DATOS!$C$43)</f>
        <v>37008.755452589518</v>
      </c>
      <c r="H26" s="35">
        <f>+IF(H25&lt;=0,0,H25*DATOS!$C$43)</f>
        <v>46932.7570338406</v>
      </c>
      <c r="I26" s="35">
        <f>+IF(I25&lt;=0,0,I25*DATOS!$C$43)</f>
        <v>48609.158773216797</v>
      </c>
      <c r="J26" s="35">
        <f>+IF(J25&lt;=0,0,J25*DATOS!$C$43)</f>
        <v>50453.200686530618</v>
      </c>
      <c r="K26" s="35">
        <f>+IF(K25&lt;=0,0,K25*DATOS!$C$43)</f>
        <v>52481.646791175823</v>
      </c>
      <c r="L26" s="35">
        <f>+IF(L25&lt;=0,0,L25*DATOS!$C$43)</f>
        <v>54712.93750628554</v>
      </c>
      <c r="M26" s="35">
        <f>+IF(M25&lt;=0,0,M25*DATOS!$C$43)</f>
        <v>57167.357292906221</v>
      </c>
      <c r="N26" s="35">
        <f>+IF(N25&lt;=0,0,N25*DATOS!$C$43)</f>
        <v>59867.219058188988</v>
      </c>
      <c r="O26" s="35">
        <f>+IF(O25&lt;=0,0,O25*DATOS!$C$43)</f>
        <v>62837.06700000001</v>
      </c>
      <c r="P26" s="35">
        <f>+IF(P25&lt;=0,0,P25*DATOS!$C$43)</f>
        <v>62837.06700000001</v>
      </c>
      <c r="Q26" s="35">
        <f>+IF(Q25&lt;=0,0,Q25*DATOS!$C$43)</f>
        <v>62837.06700000001</v>
      </c>
      <c r="R26" s="35">
        <f>+IF(R25&lt;=0,0,R25*DATOS!$C$43)</f>
        <v>62837.06700000001</v>
      </c>
      <c r="S26" s="35">
        <f>+IF(S25&lt;=0,0,S25*DATOS!$C$43)</f>
        <v>62837.06700000001</v>
      </c>
      <c r="T26" s="35">
        <f>+IF(T25&lt;=0,0,T25*DATOS!$C$43)</f>
        <v>62837.06700000001</v>
      </c>
      <c r="U26" s="35">
        <f>+IF(U25&lt;=0,0,U25*DATOS!$C$43)</f>
        <v>62837.06700000001</v>
      </c>
      <c r="V26" s="35">
        <f>+IF(V25&lt;=0,0,V25*DATOS!$C$43)</f>
        <v>62837.06700000001</v>
      </c>
    </row>
    <row r="27" spans="1:22" s="14" customFormat="1" x14ac:dyDescent="0.25">
      <c r="A27" s="44" t="s">
        <v>19</v>
      </c>
      <c r="B27" s="44"/>
      <c r="C27" s="44">
        <f>+C25-C26</f>
        <v>89443.85450000003</v>
      </c>
      <c r="D27" s="44">
        <f t="shared" ref="D27:V27" si="5">+D25-D26</f>
        <v>8801.4478673149988</v>
      </c>
      <c r="E27" s="44">
        <f t="shared" si="5"/>
        <v>25214.938071361488</v>
      </c>
      <c r="F27" s="44">
        <f t="shared" si="5"/>
        <v>55637.408095812672</v>
      </c>
      <c r="G27" s="44">
        <f t="shared" si="5"/>
        <v>86353.762722708896</v>
      </c>
      <c r="H27" s="44">
        <f t="shared" si="5"/>
        <v>109509.76641229473</v>
      </c>
      <c r="I27" s="44">
        <f t="shared" si="5"/>
        <v>113421.3704708392</v>
      </c>
      <c r="J27" s="44">
        <f t="shared" si="5"/>
        <v>117724.13493523811</v>
      </c>
      <c r="K27" s="44">
        <f t="shared" si="5"/>
        <v>122457.17584607692</v>
      </c>
      <c r="L27" s="44">
        <f t="shared" si="5"/>
        <v>127663.52084799959</v>
      </c>
      <c r="M27" s="44">
        <f t="shared" si="5"/>
        <v>133390.50035011454</v>
      </c>
      <c r="N27" s="44">
        <f t="shared" si="5"/>
        <v>139690.17780244097</v>
      </c>
      <c r="O27" s="44">
        <f t="shared" si="5"/>
        <v>146619.82300000003</v>
      </c>
      <c r="P27" s="44">
        <f t="shared" si="5"/>
        <v>146619.82300000003</v>
      </c>
      <c r="Q27" s="44">
        <f t="shared" si="5"/>
        <v>146619.82300000003</v>
      </c>
      <c r="R27" s="44">
        <f t="shared" si="5"/>
        <v>146619.82300000003</v>
      </c>
      <c r="S27" s="44">
        <f t="shared" si="5"/>
        <v>146619.82300000003</v>
      </c>
      <c r="T27" s="44">
        <f t="shared" si="5"/>
        <v>146619.82300000003</v>
      </c>
      <c r="U27" s="44">
        <f t="shared" si="5"/>
        <v>146619.82300000003</v>
      </c>
      <c r="V27" s="44">
        <f t="shared" si="5"/>
        <v>146619.82300000003</v>
      </c>
    </row>
    <row r="28" spans="1:22" x14ac:dyDescent="0.25">
      <c r="A28" s="9" t="s">
        <v>20</v>
      </c>
      <c r="B28" s="9"/>
      <c r="C28" s="9">
        <f>+D62</f>
        <v>73294.95</v>
      </c>
      <c r="D28" s="9">
        <f>+D63</f>
        <v>73294.95</v>
      </c>
      <c r="E28" s="9">
        <f>+D64</f>
        <v>73294.95</v>
      </c>
      <c r="F28" s="9">
        <f>+D65</f>
        <v>73294.95</v>
      </c>
      <c r="G28" s="9">
        <f>+D66</f>
        <v>73294.95</v>
      </c>
      <c r="H28" s="9">
        <f>+D67</f>
        <v>45294.95</v>
      </c>
      <c r="I28" s="9">
        <f>+D68</f>
        <v>45294.95</v>
      </c>
      <c r="J28" s="9">
        <f>+D69</f>
        <v>45294.95</v>
      </c>
      <c r="K28" s="9">
        <f>+D70</f>
        <v>45294.95</v>
      </c>
      <c r="L28" s="9">
        <f>+D71</f>
        <v>45294.95</v>
      </c>
      <c r="M28" s="9">
        <f>+D72</f>
        <v>45294.95</v>
      </c>
      <c r="N28" s="9">
        <f>+D73</f>
        <v>45294.95</v>
      </c>
      <c r="O28" s="9">
        <f>+D74</f>
        <v>45294.95</v>
      </c>
      <c r="P28" s="9">
        <f>+D75</f>
        <v>45294.95</v>
      </c>
      <c r="Q28" s="9">
        <f>+D76</f>
        <v>45294.95</v>
      </c>
      <c r="R28" s="9">
        <f>+D77</f>
        <v>45294.95</v>
      </c>
      <c r="S28" s="9">
        <f>+D78</f>
        <v>45294.95</v>
      </c>
      <c r="T28" s="9">
        <f>+D79</f>
        <v>45294.95</v>
      </c>
      <c r="U28" s="9">
        <f>+D80</f>
        <v>45294.95</v>
      </c>
      <c r="V28" s="9">
        <f>+D81</f>
        <v>45294.95</v>
      </c>
    </row>
    <row r="29" spans="1:22" x14ac:dyDescent="0.25">
      <c r="A29" s="9" t="s">
        <v>21</v>
      </c>
      <c r="B29" s="9"/>
      <c r="C29" s="9">
        <f>+F40</f>
        <v>34697.119533071294</v>
      </c>
      <c r="D29" s="9">
        <f>+F41</f>
        <v>38166.831486378331</v>
      </c>
      <c r="E29" s="9">
        <f>+F42</f>
        <v>41983.51463501621</v>
      </c>
      <c r="F29" s="9">
        <f>+F43</f>
        <v>46181.866098517785</v>
      </c>
      <c r="G29" s="9">
        <f>+F44</f>
        <v>50800.052708369563</v>
      </c>
      <c r="H29" s="9">
        <f>+F45</f>
        <v>55880.057979206555</v>
      </c>
      <c r="I29" s="9">
        <f>+F46</f>
        <v>61468.063777127245</v>
      </c>
      <c r="J29" s="9">
        <f>+F47</f>
        <v>67614.87015483994</v>
      </c>
      <c r="K29" s="9">
        <f>+F48</f>
        <v>74376.357170323958</v>
      </c>
      <c r="L29" s="9">
        <f>+F49</f>
        <v>81813.992887356348</v>
      </c>
      <c r="M29" s="9">
        <f>+F50</f>
        <v>89995.392176091977</v>
      </c>
      <c r="N29" s="9">
        <f>+F51</f>
        <v>98994.931393701176</v>
      </c>
      <c r="O29" s="9"/>
      <c r="P29" s="9"/>
      <c r="Q29" s="9"/>
      <c r="R29" s="9"/>
      <c r="S29" s="9"/>
      <c r="T29" s="9"/>
      <c r="U29" s="9"/>
      <c r="V29" s="9"/>
    </row>
    <row r="30" spans="1:22" s="14" customFormat="1" x14ac:dyDescent="0.25">
      <c r="A30" s="19" t="s">
        <v>22</v>
      </c>
      <c r="B30" s="19">
        <f>+B11+B12</f>
        <v>-1059961.5</v>
      </c>
      <c r="C30" s="19">
        <f>+C27+C28-C29</f>
        <v>128041.68496692873</v>
      </c>
      <c r="D30" s="19">
        <f t="shared" ref="D30:U30" si="6">+D27+D28-D29</f>
        <v>43929.566380936667</v>
      </c>
      <c r="E30" s="19">
        <f t="shared" si="6"/>
        <v>56526.373436345282</v>
      </c>
      <c r="F30" s="19">
        <f t="shared" si="6"/>
        <v>82750.491997294885</v>
      </c>
      <c r="G30" s="19">
        <f t="shared" si="6"/>
        <v>108848.66001433932</v>
      </c>
      <c r="H30" s="19">
        <f t="shared" si="6"/>
        <v>98924.65843308816</v>
      </c>
      <c r="I30" s="19">
        <f t="shared" si="6"/>
        <v>97248.25669371197</v>
      </c>
      <c r="J30" s="19">
        <f t="shared" si="6"/>
        <v>95404.214780398179</v>
      </c>
      <c r="K30" s="19">
        <f t="shared" si="6"/>
        <v>93375.768675752974</v>
      </c>
      <c r="L30" s="19">
        <f t="shared" si="6"/>
        <v>91144.477960643242</v>
      </c>
      <c r="M30" s="19">
        <f t="shared" si="6"/>
        <v>88690.058174022575</v>
      </c>
      <c r="N30" s="19">
        <f t="shared" si="6"/>
        <v>85990.196408739779</v>
      </c>
      <c r="O30" s="19">
        <f t="shared" si="6"/>
        <v>191914.77300000004</v>
      </c>
      <c r="P30" s="19">
        <f t="shared" si="6"/>
        <v>191914.77300000004</v>
      </c>
      <c r="Q30" s="19">
        <f t="shared" si="6"/>
        <v>191914.77300000004</v>
      </c>
      <c r="R30" s="19">
        <f t="shared" si="6"/>
        <v>191914.77300000004</v>
      </c>
      <c r="S30" s="19">
        <f t="shared" si="6"/>
        <v>191914.77300000004</v>
      </c>
      <c r="T30" s="19">
        <f t="shared" si="6"/>
        <v>191914.77300000004</v>
      </c>
      <c r="U30" s="19">
        <f t="shared" si="6"/>
        <v>191914.77300000004</v>
      </c>
      <c r="V30" s="19">
        <f>+V27+V28-V29+V13</f>
        <v>373094.57300000009</v>
      </c>
    </row>
    <row r="32" spans="1:22" x14ac:dyDescent="0.25">
      <c r="A32" s="31" t="s">
        <v>49</v>
      </c>
      <c r="B32" s="30">
        <f>NPV(B33,C30:V30)+B30</f>
        <v>-249316.98462518852</v>
      </c>
      <c r="D32" s="14" t="s">
        <v>50</v>
      </c>
      <c r="F32" s="32">
        <f>IRR(B30:V30)</f>
        <v>8.8314750375008133E-2</v>
      </c>
    </row>
    <row r="33" spans="1:6" x14ac:dyDescent="0.25">
      <c r="A33" s="46" t="s">
        <v>53</v>
      </c>
      <c r="B33" s="12">
        <f>+EVALUACION!B31</f>
        <v>0.12</v>
      </c>
    </row>
    <row r="34" spans="1:6" x14ac:dyDescent="0.25">
      <c r="A34" s="85" t="s">
        <v>33</v>
      </c>
      <c r="B34" s="85"/>
      <c r="C34" s="85"/>
      <c r="D34" s="85"/>
      <c r="E34" s="85"/>
    </row>
    <row r="35" spans="1:6" x14ac:dyDescent="0.25">
      <c r="A35" s="13" t="s">
        <v>1</v>
      </c>
      <c r="B35" s="13">
        <f>+EVALUACION!B34</f>
        <v>1059961.5</v>
      </c>
    </row>
    <row r="36" spans="1:6" x14ac:dyDescent="0.25">
      <c r="A36" s="13" t="s">
        <v>27</v>
      </c>
      <c r="B36" s="13">
        <f>+B35*F36</f>
        <v>317988.45</v>
      </c>
      <c r="D36" s="17" t="s">
        <v>51</v>
      </c>
      <c r="F36" s="12">
        <v>0.3</v>
      </c>
    </row>
    <row r="37" spans="1:6" x14ac:dyDescent="0.25">
      <c r="A37" s="14" t="s">
        <v>28</v>
      </c>
      <c r="B37" s="14">
        <f>+B35-B36</f>
        <v>741973.05</v>
      </c>
      <c r="D37" s="13" t="s">
        <v>46</v>
      </c>
      <c r="F37" s="12">
        <f>+EVALUACION!F36</f>
        <v>0.1</v>
      </c>
    </row>
    <row r="39" spans="1:6" x14ac:dyDescent="0.25">
      <c r="A39" s="20" t="s">
        <v>16</v>
      </c>
      <c r="B39" s="20" t="s">
        <v>29</v>
      </c>
      <c r="C39" s="20" t="s">
        <v>32</v>
      </c>
      <c r="D39" s="20" t="s">
        <v>30</v>
      </c>
      <c r="E39" s="20" t="s">
        <v>31</v>
      </c>
      <c r="F39" s="23" t="s">
        <v>44</v>
      </c>
    </row>
    <row r="40" spans="1:6" x14ac:dyDescent="0.25">
      <c r="A40" s="2">
        <v>1</v>
      </c>
      <c r="B40" s="9">
        <f>+B37</f>
        <v>741973.05</v>
      </c>
      <c r="C40" s="9">
        <f>-PMT($F$37,12,$B$40)</f>
        <v>108894.42453307126</v>
      </c>
      <c r="D40" s="9">
        <f>+B37*$F$37</f>
        <v>74197.305000000008</v>
      </c>
      <c r="E40" s="9">
        <f>+B40-(C40-D40)</f>
        <v>707275.93046692875</v>
      </c>
      <c r="F40" s="9">
        <f>+B40-E40</f>
        <v>34697.119533071294</v>
      </c>
    </row>
    <row r="41" spans="1:6" x14ac:dyDescent="0.25">
      <c r="A41" s="2">
        <v>2</v>
      </c>
      <c r="B41" s="9">
        <f>+E40</f>
        <v>707275.93046692875</v>
      </c>
      <c r="C41" s="9">
        <f t="shared" ref="C41:C51" si="7">-PMT($F$37,12,$B$40)</f>
        <v>108894.42453307126</v>
      </c>
      <c r="D41" s="9">
        <f>+B41*$F$37</f>
        <v>70727.593046692884</v>
      </c>
      <c r="E41" s="9">
        <f t="shared" ref="E41:E51" si="8">+B41-(C41-D41)</f>
        <v>669109.09898055042</v>
      </c>
      <c r="F41" s="9">
        <f t="shared" ref="F41:F51" si="9">+B41-E41</f>
        <v>38166.831486378331</v>
      </c>
    </row>
    <row r="42" spans="1:6" x14ac:dyDescent="0.25">
      <c r="A42" s="2">
        <v>3</v>
      </c>
      <c r="B42" s="9">
        <f t="shared" ref="B42:B51" si="10">+E41</f>
        <v>669109.09898055042</v>
      </c>
      <c r="C42" s="9">
        <f t="shared" si="7"/>
        <v>108894.42453307126</v>
      </c>
      <c r="D42" s="9">
        <f t="shared" ref="D42:D51" si="11">+B42*$F$37</f>
        <v>66910.909898055048</v>
      </c>
      <c r="E42" s="9">
        <f t="shared" si="8"/>
        <v>627125.58434553421</v>
      </c>
      <c r="F42" s="9">
        <f t="shared" si="9"/>
        <v>41983.51463501621</v>
      </c>
    </row>
    <row r="43" spans="1:6" x14ac:dyDescent="0.25">
      <c r="A43" s="2">
        <v>4</v>
      </c>
      <c r="B43" s="9">
        <f t="shared" si="10"/>
        <v>627125.58434553421</v>
      </c>
      <c r="C43" s="9">
        <f t="shared" si="7"/>
        <v>108894.42453307126</v>
      </c>
      <c r="D43" s="9">
        <f t="shared" si="11"/>
        <v>62712.558434553423</v>
      </c>
      <c r="E43" s="9">
        <f t="shared" si="8"/>
        <v>580943.71824701643</v>
      </c>
      <c r="F43" s="9">
        <f t="shared" si="9"/>
        <v>46181.866098517785</v>
      </c>
    </row>
    <row r="44" spans="1:6" x14ac:dyDescent="0.25">
      <c r="A44" s="2">
        <v>5</v>
      </c>
      <c r="B44" s="9">
        <f t="shared" si="10"/>
        <v>580943.71824701643</v>
      </c>
      <c r="C44" s="9">
        <f t="shared" si="7"/>
        <v>108894.42453307126</v>
      </c>
      <c r="D44" s="9">
        <f t="shared" si="11"/>
        <v>58094.371824701644</v>
      </c>
      <c r="E44" s="9">
        <f t="shared" si="8"/>
        <v>530143.66553864686</v>
      </c>
      <c r="F44" s="9">
        <f t="shared" si="9"/>
        <v>50800.052708369563</v>
      </c>
    </row>
    <row r="45" spans="1:6" x14ac:dyDescent="0.25">
      <c r="A45" s="2">
        <v>6</v>
      </c>
      <c r="B45" s="9">
        <f t="shared" si="10"/>
        <v>530143.66553864686</v>
      </c>
      <c r="C45" s="9">
        <f t="shared" si="7"/>
        <v>108894.42453307126</v>
      </c>
      <c r="D45" s="9">
        <f t="shared" si="11"/>
        <v>53014.366553864689</v>
      </c>
      <c r="E45" s="9">
        <f t="shared" si="8"/>
        <v>474263.60755944031</v>
      </c>
      <c r="F45" s="9">
        <f t="shared" si="9"/>
        <v>55880.057979206555</v>
      </c>
    </row>
    <row r="46" spans="1:6" x14ac:dyDescent="0.25">
      <c r="A46" s="2">
        <v>7</v>
      </c>
      <c r="B46" s="9">
        <f t="shared" si="10"/>
        <v>474263.60755944031</v>
      </c>
      <c r="C46" s="9">
        <f t="shared" si="7"/>
        <v>108894.42453307126</v>
      </c>
      <c r="D46" s="9">
        <f t="shared" si="11"/>
        <v>47426.360755944035</v>
      </c>
      <c r="E46" s="9">
        <f t="shared" si="8"/>
        <v>412795.54378231306</v>
      </c>
      <c r="F46" s="9">
        <f t="shared" si="9"/>
        <v>61468.063777127245</v>
      </c>
    </row>
    <row r="47" spans="1:6" x14ac:dyDescent="0.25">
      <c r="A47" s="2">
        <v>8</v>
      </c>
      <c r="B47" s="9">
        <f t="shared" si="10"/>
        <v>412795.54378231306</v>
      </c>
      <c r="C47" s="9">
        <f t="shared" si="7"/>
        <v>108894.42453307126</v>
      </c>
      <c r="D47" s="9">
        <f t="shared" si="11"/>
        <v>41279.554378231311</v>
      </c>
      <c r="E47" s="9">
        <f t="shared" si="8"/>
        <v>345180.67362747312</v>
      </c>
      <c r="F47" s="9">
        <f t="shared" si="9"/>
        <v>67614.87015483994</v>
      </c>
    </row>
    <row r="48" spans="1:6" x14ac:dyDescent="0.25">
      <c r="A48" s="2">
        <v>9</v>
      </c>
      <c r="B48" s="9">
        <f t="shared" si="10"/>
        <v>345180.67362747312</v>
      </c>
      <c r="C48" s="9">
        <f t="shared" si="7"/>
        <v>108894.42453307126</v>
      </c>
      <c r="D48" s="9">
        <f t="shared" si="11"/>
        <v>34518.067362747315</v>
      </c>
      <c r="E48" s="9">
        <f t="shared" si="8"/>
        <v>270804.31645714917</v>
      </c>
      <c r="F48" s="9">
        <f t="shared" si="9"/>
        <v>74376.357170323958</v>
      </c>
    </row>
    <row r="49" spans="1:7" x14ac:dyDescent="0.25">
      <c r="A49" s="2">
        <v>10</v>
      </c>
      <c r="B49" s="9">
        <f t="shared" si="10"/>
        <v>270804.31645714917</v>
      </c>
      <c r="C49" s="9">
        <f t="shared" si="7"/>
        <v>108894.42453307126</v>
      </c>
      <c r="D49" s="9">
        <f t="shared" si="11"/>
        <v>27080.431645714918</v>
      </c>
      <c r="E49" s="9">
        <f t="shared" si="8"/>
        <v>188990.32356979282</v>
      </c>
      <c r="F49" s="9">
        <f t="shared" si="9"/>
        <v>81813.992887356348</v>
      </c>
    </row>
    <row r="50" spans="1:7" x14ac:dyDescent="0.25">
      <c r="A50" s="2">
        <v>11</v>
      </c>
      <c r="B50" s="9">
        <f t="shared" si="10"/>
        <v>188990.32356979282</v>
      </c>
      <c r="C50" s="9">
        <f t="shared" si="7"/>
        <v>108894.42453307126</v>
      </c>
      <c r="D50" s="9">
        <f t="shared" si="11"/>
        <v>18899.032356979282</v>
      </c>
      <c r="E50" s="9">
        <f t="shared" si="8"/>
        <v>98994.931393700841</v>
      </c>
      <c r="F50" s="9">
        <f t="shared" si="9"/>
        <v>89995.392176091977</v>
      </c>
    </row>
    <row r="51" spans="1:7" x14ac:dyDescent="0.25">
      <c r="A51" s="2">
        <v>12</v>
      </c>
      <c r="B51" s="9">
        <f t="shared" si="10"/>
        <v>98994.931393700841</v>
      </c>
      <c r="C51" s="9">
        <f t="shared" si="7"/>
        <v>108894.42453307126</v>
      </c>
      <c r="D51" s="9">
        <f t="shared" si="11"/>
        <v>9899.4931393700845</v>
      </c>
      <c r="E51" s="9">
        <f t="shared" si="8"/>
        <v>-3.3469405025243759E-10</v>
      </c>
      <c r="F51" s="9">
        <f t="shared" si="9"/>
        <v>98994.931393701176</v>
      </c>
      <c r="G51" s="13">
        <f>SUM(F40:F51)</f>
        <v>741973.05000000051</v>
      </c>
    </row>
    <row r="53" spans="1:7" x14ac:dyDescent="0.25">
      <c r="A53" s="87" t="s">
        <v>34</v>
      </c>
      <c r="B53" s="87"/>
      <c r="C53" s="87"/>
      <c r="D53" s="77"/>
    </row>
    <row r="54" spans="1:7" x14ac:dyDescent="0.25">
      <c r="A54" s="22" t="str">
        <f>EVALUACION!A53</f>
        <v>INFRAESTRUCTURA</v>
      </c>
      <c r="B54" s="23" t="str">
        <f>EVALUACION!B53</f>
        <v>INVERSION</v>
      </c>
      <c r="C54" s="24" t="str">
        <f>EVALUACION!C53</f>
        <v>DEP. ANUAL</v>
      </c>
    </row>
    <row r="55" spans="1:7" x14ac:dyDescent="0.25">
      <c r="A55" s="9" t="str">
        <f>EVALUACION!A54</f>
        <v>Inversión en infraestructura</v>
      </c>
      <c r="B55" s="9">
        <f>EVALUACION!B54</f>
        <v>905899</v>
      </c>
      <c r="C55" s="9">
        <f>EVALUACION!C54</f>
        <v>45294.95</v>
      </c>
    </row>
    <row r="56" spans="1:7" x14ac:dyDescent="0.25">
      <c r="A56" s="21" t="str">
        <f>EVALUACION!A55</f>
        <v>Inversión en bicicletas y estacionamientos</v>
      </c>
      <c r="B56" s="9">
        <f>EVALUACION!B55</f>
        <v>140000</v>
      </c>
      <c r="C56" s="9">
        <f>EVALUACION!C55</f>
        <v>28000</v>
      </c>
    </row>
    <row r="57" spans="1:7" x14ac:dyDescent="0.25">
      <c r="A57" s="27" t="str">
        <f>EVALUACION!A56</f>
        <v>TOTAL</v>
      </c>
      <c r="B57" s="19">
        <f>EVALUACION!B56</f>
        <v>1045899</v>
      </c>
      <c r="C57" s="19">
        <f>EVALUACION!C56</f>
        <v>73294.95</v>
      </c>
    </row>
    <row r="58" spans="1:7" x14ac:dyDescent="0.25">
      <c r="A58" s="13" t="s">
        <v>37</v>
      </c>
      <c r="B58" s="13" t="s">
        <v>37</v>
      </c>
      <c r="C58" s="13" t="s">
        <v>37</v>
      </c>
    </row>
    <row r="59" spans="1:7" x14ac:dyDescent="0.25">
      <c r="A59" s="13" t="s">
        <v>79</v>
      </c>
      <c r="B59" s="13" t="s">
        <v>79</v>
      </c>
      <c r="C59" s="13" t="s">
        <v>79</v>
      </c>
    </row>
    <row r="61" spans="1:7" x14ac:dyDescent="0.25">
      <c r="A61" s="20" t="s">
        <v>40</v>
      </c>
      <c r="B61" s="20" t="s">
        <v>41</v>
      </c>
      <c r="C61" s="22" t="s">
        <v>42</v>
      </c>
      <c r="D61" s="20" t="s">
        <v>43</v>
      </c>
    </row>
    <row r="62" spans="1:7" x14ac:dyDescent="0.25">
      <c r="A62" s="2">
        <v>1</v>
      </c>
      <c r="B62" s="9">
        <f>+$C$55</f>
        <v>45294.95</v>
      </c>
      <c r="C62" s="9">
        <f>+$C$56</f>
        <v>28000</v>
      </c>
      <c r="D62" s="9">
        <f>+C62+B62</f>
        <v>73294.95</v>
      </c>
    </row>
    <row r="63" spans="1:7" x14ac:dyDescent="0.25">
      <c r="A63" s="2">
        <v>2</v>
      </c>
      <c r="B63" s="9">
        <f t="shared" ref="B63:B81" si="12">+$C$55</f>
        <v>45294.95</v>
      </c>
      <c r="C63" s="9">
        <f t="shared" ref="C63:C66" si="13">+$C$56</f>
        <v>28000</v>
      </c>
      <c r="D63" s="9">
        <f t="shared" ref="D63:D82" si="14">+C63+B63</f>
        <v>73294.95</v>
      </c>
    </row>
    <row r="64" spans="1:7" x14ac:dyDescent="0.25">
      <c r="A64" s="2">
        <v>3</v>
      </c>
      <c r="B64" s="9">
        <f t="shared" si="12"/>
        <v>45294.95</v>
      </c>
      <c r="C64" s="9">
        <f t="shared" si="13"/>
        <v>28000</v>
      </c>
      <c r="D64" s="9">
        <f t="shared" si="14"/>
        <v>73294.95</v>
      </c>
    </row>
    <row r="65" spans="1:4" x14ac:dyDescent="0.25">
      <c r="A65" s="2">
        <v>4</v>
      </c>
      <c r="B65" s="9">
        <f t="shared" si="12"/>
        <v>45294.95</v>
      </c>
      <c r="C65" s="9">
        <f t="shared" si="13"/>
        <v>28000</v>
      </c>
      <c r="D65" s="9">
        <f t="shared" si="14"/>
        <v>73294.95</v>
      </c>
    </row>
    <row r="66" spans="1:4" x14ac:dyDescent="0.25">
      <c r="A66" s="2">
        <v>5</v>
      </c>
      <c r="B66" s="9">
        <f t="shared" si="12"/>
        <v>45294.95</v>
      </c>
      <c r="C66" s="9">
        <f t="shared" si="13"/>
        <v>28000</v>
      </c>
      <c r="D66" s="9">
        <f t="shared" si="14"/>
        <v>73294.95</v>
      </c>
    </row>
    <row r="67" spans="1:4" x14ac:dyDescent="0.25">
      <c r="A67" s="2">
        <v>6</v>
      </c>
      <c r="B67" s="9">
        <f t="shared" si="12"/>
        <v>45294.95</v>
      </c>
      <c r="C67" s="9"/>
      <c r="D67" s="9">
        <f t="shared" si="14"/>
        <v>45294.95</v>
      </c>
    </row>
    <row r="68" spans="1:4" x14ac:dyDescent="0.25">
      <c r="A68" s="2">
        <v>7</v>
      </c>
      <c r="B68" s="9">
        <f t="shared" si="12"/>
        <v>45294.95</v>
      </c>
      <c r="C68" s="9"/>
      <c r="D68" s="9">
        <f t="shared" si="14"/>
        <v>45294.95</v>
      </c>
    </row>
    <row r="69" spans="1:4" x14ac:dyDescent="0.25">
      <c r="A69" s="2">
        <v>8</v>
      </c>
      <c r="B69" s="9">
        <f t="shared" si="12"/>
        <v>45294.95</v>
      </c>
      <c r="C69" s="9"/>
      <c r="D69" s="9">
        <f t="shared" si="14"/>
        <v>45294.95</v>
      </c>
    </row>
    <row r="70" spans="1:4" x14ac:dyDescent="0.25">
      <c r="A70" s="2">
        <v>9</v>
      </c>
      <c r="B70" s="9">
        <f t="shared" si="12"/>
        <v>45294.95</v>
      </c>
      <c r="C70" s="9"/>
      <c r="D70" s="9">
        <f t="shared" si="14"/>
        <v>45294.95</v>
      </c>
    </row>
    <row r="71" spans="1:4" x14ac:dyDescent="0.25">
      <c r="A71" s="2">
        <v>10</v>
      </c>
      <c r="B71" s="9">
        <f t="shared" si="12"/>
        <v>45294.95</v>
      </c>
      <c r="C71" s="9"/>
      <c r="D71" s="9">
        <f t="shared" si="14"/>
        <v>45294.95</v>
      </c>
    </row>
    <row r="72" spans="1:4" x14ac:dyDescent="0.25">
      <c r="A72" s="2">
        <v>11</v>
      </c>
      <c r="B72" s="9">
        <f t="shared" si="12"/>
        <v>45294.95</v>
      </c>
      <c r="C72" s="9"/>
      <c r="D72" s="9">
        <f t="shared" si="14"/>
        <v>45294.95</v>
      </c>
    </row>
    <row r="73" spans="1:4" x14ac:dyDescent="0.25">
      <c r="A73" s="2">
        <v>12</v>
      </c>
      <c r="B73" s="9">
        <f t="shared" si="12"/>
        <v>45294.95</v>
      </c>
      <c r="C73" s="9"/>
      <c r="D73" s="9">
        <f t="shared" si="14"/>
        <v>45294.95</v>
      </c>
    </row>
    <row r="74" spans="1:4" x14ac:dyDescent="0.25">
      <c r="A74" s="26">
        <v>13</v>
      </c>
      <c r="B74" s="9">
        <f t="shared" si="12"/>
        <v>45294.95</v>
      </c>
      <c r="C74" s="9"/>
      <c r="D74" s="9">
        <f t="shared" si="14"/>
        <v>45294.95</v>
      </c>
    </row>
    <row r="75" spans="1:4" x14ac:dyDescent="0.25">
      <c r="A75" s="26">
        <v>14</v>
      </c>
      <c r="B75" s="9">
        <f t="shared" si="12"/>
        <v>45294.95</v>
      </c>
      <c r="C75" s="9"/>
      <c r="D75" s="9">
        <f t="shared" si="14"/>
        <v>45294.95</v>
      </c>
    </row>
    <row r="76" spans="1:4" x14ac:dyDescent="0.25">
      <c r="A76" s="26">
        <v>15</v>
      </c>
      <c r="B76" s="9">
        <f t="shared" si="12"/>
        <v>45294.95</v>
      </c>
      <c r="C76" s="9"/>
      <c r="D76" s="9">
        <f t="shared" si="14"/>
        <v>45294.95</v>
      </c>
    </row>
    <row r="77" spans="1:4" x14ac:dyDescent="0.25">
      <c r="A77" s="26">
        <v>16</v>
      </c>
      <c r="B77" s="9">
        <f t="shared" si="12"/>
        <v>45294.95</v>
      </c>
      <c r="C77" s="9"/>
      <c r="D77" s="9">
        <f t="shared" si="14"/>
        <v>45294.95</v>
      </c>
    </row>
    <row r="78" spans="1:4" x14ac:dyDescent="0.25">
      <c r="A78" s="26">
        <v>17</v>
      </c>
      <c r="B78" s="9">
        <f t="shared" si="12"/>
        <v>45294.95</v>
      </c>
      <c r="C78" s="9"/>
      <c r="D78" s="9">
        <f t="shared" si="14"/>
        <v>45294.95</v>
      </c>
    </row>
    <row r="79" spans="1:4" x14ac:dyDescent="0.25">
      <c r="A79" s="26">
        <v>18</v>
      </c>
      <c r="B79" s="9">
        <f t="shared" si="12"/>
        <v>45294.95</v>
      </c>
      <c r="C79" s="9"/>
      <c r="D79" s="9">
        <f t="shared" si="14"/>
        <v>45294.95</v>
      </c>
    </row>
    <row r="80" spans="1:4" x14ac:dyDescent="0.25">
      <c r="A80" s="26">
        <v>19</v>
      </c>
      <c r="B80" s="9">
        <f t="shared" si="12"/>
        <v>45294.95</v>
      </c>
      <c r="C80" s="9"/>
      <c r="D80" s="9">
        <f t="shared" si="14"/>
        <v>45294.95</v>
      </c>
    </row>
    <row r="81" spans="1:4" x14ac:dyDescent="0.25">
      <c r="A81" s="26">
        <v>20</v>
      </c>
      <c r="B81" s="9">
        <f t="shared" si="12"/>
        <v>45294.95</v>
      </c>
      <c r="C81" s="9"/>
      <c r="D81" s="9">
        <f t="shared" si="14"/>
        <v>45294.95</v>
      </c>
    </row>
    <row r="82" spans="1:4" x14ac:dyDescent="0.25">
      <c r="A82" s="20" t="s">
        <v>43</v>
      </c>
      <c r="B82" s="9">
        <f>SUM(B62:B81)</f>
        <v>905898.99999999965</v>
      </c>
      <c r="C82" s="9">
        <f>SUM(C62:C81)</f>
        <v>140000</v>
      </c>
      <c r="D82" s="9">
        <f t="shared" si="14"/>
        <v>1045898.9999999997</v>
      </c>
    </row>
  </sheetData>
  <mergeCells count="4">
    <mergeCell ref="B9:V9"/>
    <mergeCell ref="A34:E34"/>
    <mergeCell ref="A1:V1"/>
    <mergeCell ref="A53:C5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F Documents Content Type" ma:contentTypeID="0x01010000FE34C145B86045B63DA32DFB8FDDBE00F30692405A985C4A8B0A6D5A715BB992" ma:contentTypeVersion="19" ma:contentTypeDescription="" ma:contentTypeScope="" ma:versionID="25b3e7f40721bd5f0062645e86eec1bc">
  <xsd:schema xmlns:xsd="http://www.w3.org/2001/XMLSchema" xmlns:xs="http://www.w3.org/2001/XMLSchema" xmlns:p="http://schemas.microsoft.com/office/2006/metadata/properties" xmlns:ns2="ceb00776-aa5c-4fc8-b6fe-5f035152e4b6" xmlns:ns3="c7ede9f9-c657-4e65-88e7-7be717847d9e" xmlns:ns4="3e02667f-0271-471b-bd6e-11a2e16def1d" xmlns:ns5="ff57b53f-0493-42a0-86f6-b9b1333ab06d" xmlns:ns6="b8caa731-411c-4ce8-a2a6-5b517e250d33" targetNamespace="http://schemas.microsoft.com/office/2006/metadata/properties" ma:root="true" ma:fieldsID="39abbc288d8230d35509eb826c3067a1" ns2:_="" ns3:_="" ns4:_="" ns5:_="" ns6:_="">
    <xsd:import namespace="ceb00776-aa5c-4fc8-b6fe-5f035152e4b6"/>
    <xsd:import namespace="c7ede9f9-c657-4e65-88e7-7be717847d9e"/>
    <xsd:import namespace="3e02667f-0271-471b-bd6e-11a2e16def1d"/>
    <xsd:import namespace="ff57b53f-0493-42a0-86f6-b9b1333ab06d"/>
    <xsd:import namespace="b8caa731-411c-4ce8-a2a6-5b517e250d33"/>
    <xsd:element name="properties">
      <xsd:complexType>
        <xsd:sequence>
          <xsd:element name="documentManagement">
            <xsd:complexType>
              <xsd:all>
                <xsd:element ref="ns2:Classification" minOccurs="0"/>
                <xsd:element ref="ns2:Country1" minOccurs="0"/>
                <xsd:element ref="ns2:DocActive" minOccurs="0"/>
                <xsd:element ref="ns2:DocCategory" minOccurs="0"/>
                <xsd:element ref="ns2:DocPrefix" minOccurs="0"/>
                <xsd:element ref="ns2:DocType" minOccurs="0"/>
                <xsd:element ref="ns2:DocumentTitle" minOccurs="0"/>
                <xsd:element ref="ns2:FocalArea" minOccurs="0"/>
                <xsd:element ref="ns2:GEFID" minOccurs="0"/>
                <xsd:element ref="ns2:ProjectTitle" minOccurs="0"/>
                <xsd:element ref="ns2:ProjectType" minOccurs="0"/>
                <xsd:element ref="ns2:TrustFundType" minOccurs="0"/>
                <xsd:element ref="ns3:MediaServiceMetadata" minOccurs="0"/>
                <xsd:element ref="ns3:MediaServiceFastMetadata" minOccurs="0"/>
                <xsd:element ref="ns4:TaxCatchAll" minOccurs="0"/>
                <xsd:element ref="ns2:GEFCountry" minOccurs="0"/>
                <xsd:element ref="ns2:GEFProjectID" minOccurs="0"/>
                <xsd:element ref="ns5:MediaServiceAutoTags" minOccurs="0"/>
                <xsd:element ref="ns5:MediaServiceOCR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b00776-aa5c-4fc8-b6fe-5f035152e4b6" elementFormDefault="qualified">
    <xsd:import namespace="http://schemas.microsoft.com/office/2006/documentManagement/types"/>
    <xsd:import namespace="http://schemas.microsoft.com/office/infopath/2007/PartnerControls"/>
    <xsd:element name="Classification" ma:index="8" nillable="true" ma:displayName="Classification" ma:internalName="Classification">
      <xsd:simpleType>
        <xsd:restriction base="dms:Text">
          <xsd:maxLength value="255"/>
        </xsd:restriction>
      </xsd:simpleType>
    </xsd:element>
    <xsd:element name="Country1" ma:index="9" nillable="true" ma:displayName="Country" ma:internalName="Country1">
      <xsd:simpleType>
        <xsd:restriction base="dms:Text">
          <xsd:maxLength value="255"/>
        </xsd:restriction>
      </xsd:simpleType>
    </xsd:element>
    <xsd:element name="DocActive" ma:index="10" nillable="true" ma:displayName="DocActive" ma:default="No" ma:format="Dropdown" ma:internalName="DocActive">
      <xsd:simpleType>
        <xsd:restriction base="dms:Choice">
          <xsd:enumeration value="Yes"/>
          <xsd:enumeration value="No"/>
        </xsd:restriction>
      </xsd:simpleType>
    </xsd:element>
    <xsd:element name="DocCategory" ma:index="11" nillable="true" ma:displayName="DocCategory" ma:internalName="DocCategory">
      <xsd:simpleType>
        <xsd:restriction base="dms:Text">
          <xsd:maxLength value="255"/>
        </xsd:restriction>
      </xsd:simpleType>
    </xsd:element>
    <xsd:element name="DocPrefix" ma:index="12" nillable="true" ma:displayName="DocPrefix" ma:internalName="DocPrefix">
      <xsd:simpleType>
        <xsd:restriction base="dms:Text">
          <xsd:maxLength value="255"/>
        </xsd:restriction>
      </xsd:simpleType>
    </xsd:element>
    <xsd:element name="DocType" ma:index="13" nillable="true" ma:displayName="DocType" ma:internalName="DocType">
      <xsd:simpleType>
        <xsd:restriction base="dms:Text">
          <xsd:maxLength value="255"/>
        </xsd:restriction>
      </xsd:simpleType>
    </xsd:element>
    <xsd:element name="DocumentTitle" ma:index="14" nillable="true" ma:displayName="DocumentTitle" ma:internalName="DocumentTitle">
      <xsd:simpleType>
        <xsd:restriction base="dms:Text">
          <xsd:maxLength value="255"/>
        </xsd:restriction>
      </xsd:simpleType>
    </xsd:element>
    <xsd:element name="FocalArea" ma:index="15" nillable="true" ma:displayName="FocalArea" ma:internalName="FocalArea">
      <xsd:simpleType>
        <xsd:restriction base="dms:Text">
          <xsd:maxLength value="255"/>
        </xsd:restriction>
      </xsd:simpleType>
    </xsd:element>
    <xsd:element name="GEFID" ma:index="16" nillable="true" ma:displayName="GEFID" ma:internalName="GEFID">
      <xsd:simpleType>
        <xsd:restriction base="dms:Text">
          <xsd:maxLength value="255"/>
        </xsd:restriction>
      </xsd:simpleType>
    </xsd:element>
    <xsd:element name="ProjectTitle" ma:index="17" nillable="true" ma:displayName="ProjectTitle" ma:internalName="ProjectTitle" ma:readOnly="false">
      <xsd:simpleType>
        <xsd:restriction base="dms:Note">
          <xsd:maxLength value="255"/>
        </xsd:restriction>
      </xsd:simpleType>
    </xsd:element>
    <xsd:element name="ProjectType" ma:index="18" nillable="true" ma:displayName="ProjectType" ma:internalName="ProjectType">
      <xsd:simpleType>
        <xsd:restriction base="dms:Text">
          <xsd:maxLength value="255"/>
        </xsd:restriction>
      </xsd:simpleType>
    </xsd:element>
    <xsd:element name="TrustFundType" ma:index="19" nillable="true" ma:displayName="TrustFundType" ma:internalName="TrustFundType">
      <xsd:simpleType>
        <xsd:restriction base="dms:Text">
          <xsd:maxLength value="255"/>
        </xsd:restriction>
      </xsd:simpleType>
    </xsd:element>
    <xsd:element name="GEFCountry" ma:index="23" nillable="true" ma:displayName="GEFCountry" ma:internalName="GEFCountry">
      <xsd:simpleType>
        <xsd:restriction base="dms:Text">
          <xsd:maxLength value="255"/>
        </xsd:restriction>
      </xsd:simpleType>
    </xsd:element>
    <xsd:element name="GEFProjectID" ma:index="24" nillable="true" ma:displayName="GEFProjectID" ma:internalName="GEFProject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ede9f9-c657-4e65-88e7-7be717847d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02667f-0271-471b-bd6e-11a2e16def1d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3a0844f6-a59b-4fa4-b58a-6bc4e72871bd}" ma:internalName="TaxCatchAll" ma:showField="CatchAllData" ma:web="ceb00776-aa5c-4fc8-b6fe-5f035152e4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7b53f-0493-42a0-86f6-b9b1333ab06d" elementFormDefault="qualified">
    <xsd:import namespace="http://schemas.microsoft.com/office/2006/documentManagement/types"/>
    <xsd:import namespace="http://schemas.microsoft.com/office/infopath/2007/PartnerControls"/>
    <xsd:element name="MediaServiceAutoTags" ma:index="25" nillable="true" ma:displayName="MediaServiceAutoTags" ma:internalName="MediaServiceAutoTags" ma:readOnly="true">
      <xsd:simpleType>
        <xsd:restriction base="dms:Text"/>
      </xsd:simpleType>
    </xsd:element>
    <xsd:element name="MediaServiceOCR" ma:index="2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9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caa731-411c-4ce8-a2a6-5b517e250d33" elementFormDefault="qualified">
    <xsd:import namespace="http://schemas.microsoft.com/office/2006/documentManagement/types"/>
    <xsd:import namespace="http://schemas.microsoft.com/office/infopath/2007/PartnerControls"/>
    <xsd:element name="SharedWithUsers" ma:index="2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EFCountry xmlns="ceb00776-aa5c-4fc8-b6fe-5f035152e4b6">El Salvador</GEFCountry>
    <Classification xmlns="ceb00776-aa5c-4fc8-b6fe-5f035152e4b6">Public</Classification>
    <Country1 xmlns="ceb00776-aa5c-4fc8-b6fe-5f035152e4b6" xsi:nil="true"/>
    <DocPrefix xmlns="ceb00776-aa5c-4fc8-b6fe-5f035152e4b6">Others</DocPrefix>
    <GEFID xmlns="ceb00776-aa5c-4fc8-b6fe-5f035152e4b6">9038</GEFID>
    <ProjectType xmlns="ceb00776-aa5c-4fc8-b6fe-5f035152e4b6">FSP</ProjectType>
    <GEFProjectID xmlns="ceb00776-aa5c-4fc8-b6fe-5f035152e4b6">c8e2fa45-df7c-e811-8124-3863bb2e1360</GEFProjectID>
    <DocActive xmlns="ceb00776-aa5c-4fc8-b6fe-5f035152e4b6">No</DocActive>
    <DocCategory xmlns="ceb00776-aa5c-4fc8-b6fe-5f035152e4b6">Project Supporting Document</DocCategory>
    <FocalArea xmlns="ceb00776-aa5c-4fc8-b6fe-5f035152e4b6">Climate Change</FocalArea>
    <DocType xmlns="ceb00776-aa5c-4fc8-b6fe-5f035152e4b6">Roadmap</DocType>
    <ProjectTitle xmlns="ceb00776-aa5c-4fc8-b6fe-5f035152e4b6">San Salvador Low-emission Urban Development Path </ProjectTitle>
    <TrustFundType xmlns="ceb00776-aa5c-4fc8-b6fe-5f035152e4b6">GET</TrustFundType>
    <TaxCatchAll xmlns="3e02667f-0271-471b-bd6e-11a2e16def1d"/>
    <DocumentTitle xmlns="ceb00776-aa5c-4fc8-b6fe-5f035152e4b6">ANNEX N 2</DocumentTitle>
  </documentManagement>
</p:properties>
</file>

<file path=customXml/itemProps1.xml><?xml version="1.0" encoding="utf-8"?>
<ds:datastoreItem xmlns:ds="http://schemas.openxmlformats.org/officeDocument/2006/customXml" ds:itemID="{00EF4FC7-B0EA-43AD-AFF5-606BBA25981E}"/>
</file>

<file path=customXml/itemProps2.xml><?xml version="1.0" encoding="utf-8"?>
<ds:datastoreItem xmlns:ds="http://schemas.openxmlformats.org/officeDocument/2006/customXml" ds:itemID="{B9E1A817-0EAB-4329-AF78-B9FDA3C4F45F}"/>
</file>

<file path=customXml/itemProps3.xml><?xml version="1.0" encoding="utf-8"?>
<ds:datastoreItem xmlns:ds="http://schemas.openxmlformats.org/officeDocument/2006/customXml" ds:itemID="{847975B2-9EE0-4B75-B7FA-ECEB6F8A32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DATOS</vt:lpstr>
      <vt:lpstr>EVALUACION</vt:lpstr>
      <vt:lpstr>SENSIBILIZACION</vt:lpstr>
    </vt:vector>
  </TitlesOfParts>
  <Company>Inter-American Development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Melissa Hernandez</cp:lastModifiedBy>
  <cp:lastPrinted>2015-01-15T14:33:49Z</cp:lastPrinted>
  <dcterms:created xsi:type="dcterms:W3CDTF">2015-01-13T17:18:16Z</dcterms:created>
  <dcterms:modified xsi:type="dcterms:W3CDTF">2018-11-20T21:20:49Z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0x01010000FE34C145B86045B63DA32DFB8FDDBE00F30692405A985C4A8B0A6D5A715BB992</vt:lpwstr>
  </property>
</Properties>
</file>